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EF62" lockStructure="1"/>
  <bookViews>
    <workbookView xWindow="120" yWindow="45" windowWidth="28620" windowHeight="12660"/>
  </bookViews>
  <sheets>
    <sheet name="Data Entry" sheetId="1" r:id="rId1"/>
    <sheet name="House Set Up - Adjustable" sheetId="6" r:id="rId2"/>
    <sheet name="House Set Up - Fixed" sheetId="4" r:id="rId3"/>
    <sheet name="Pick list" sheetId="2" state="hidden" r:id="rId4"/>
    <sheet name="Standards" sheetId="3" state="hidden" r:id="rId5"/>
    <sheet name="statistical calculations" sheetId="7" state="hidden" r:id="rId6"/>
    <sheet name="Help" sheetId="8" state="hidden" r:id="rId7"/>
  </sheets>
  <definedNames>
    <definedName name="_xlnm.Print_Area" localSheetId="1">'House Set Up - Adjustable'!$A$1:$N$20</definedName>
    <definedName name="_xlnm.Print_Area" localSheetId="2">'House Set Up - Fixed'!$A$1:$N$20</definedName>
  </definedNames>
  <calcPr calcId="145621"/>
</workbook>
</file>

<file path=xl/calcChain.xml><?xml version="1.0" encoding="utf-8"?>
<calcChain xmlns="http://schemas.openxmlformats.org/spreadsheetml/2006/main">
  <c r="J6" i="6" l="1"/>
  <c r="J7" i="6"/>
  <c r="J8" i="6"/>
  <c r="J9" i="6"/>
  <c r="J10" i="6"/>
  <c r="J11" i="6"/>
  <c r="J12" i="6"/>
  <c r="J5" i="6"/>
  <c r="I6" i="6"/>
  <c r="I7" i="6"/>
  <c r="I8" i="6"/>
  <c r="I9" i="6"/>
  <c r="I10" i="6"/>
  <c r="I11" i="6"/>
  <c r="I12" i="6"/>
  <c r="I5" i="6"/>
  <c r="J6" i="4"/>
  <c r="J7" i="4"/>
  <c r="J8" i="4"/>
  <c r="J9" i="4"/>
  <c r="J10" i="4"/>
  <c r="J11" i="4"/>
  <c r="J12" i="4"/>
  <c r="J5" i="4"/>
  <c r="I6" i="4"/>
  <c r="I7" i="4"/>
  <c r="I8" i="4"/>
  <c r="I9" i="4"/>
  <c r="I10" i="4"/>
  <c r="I11" i="4"/>
  <c r="I12" i="4"/>
  <c r="I5" i="4"/>
  <c r="H19" i="1" l="1"/>
  <c r="H20" i="1"/>
  <c r="H18" i="1"/>
  <c r="J4" i="4" l="1"/>
  <c r="J4" i="6"/>
  <c r="C18" i="2" l="1"/>
  <c r="I4" i="4" l="1"/>
  <c r="I4" i="6"/>
  <c r="C19" i="2"/>
  <c r="C20" i="2"/>
  <c r="C21" i="2"/>
  <c r="C22" i="2"/>
  <c r="F4" i="7"/>
  <c r="J8" i="1"/>
  <c r="F5" i="7" l="1"/>
  <c r="C25" i="7" s="1"/>
  <c r="D25" i="7" s="1"/>
  <c r="C24" i="7" l="1"/>
  <c r="D24" i="7" s="1"/>
  <c r="C3" i="7"/>
  <c r="E25" i="7" s="1"/>
  <c r="F25" i="7" s="1"/>
  <c r="G25" i="7" s="1"/>
  <c r="C4" i="7" l="1"/>
  <c r="G13" i="4"/>
  <c r="B13" i="6"/>
  <c r="G13" i="6" s="1"/>
  <c r="C2" i="6"/>
  <c r="B11" i="6" s="1"/>
  <c r="B13" i="4"/>
  <c r="H14" i="1" l="1"/>
  <c r="E6" i="1" s="1"/>
  <c r="C5" i="7"/>
  <c r="B8" i="6"/>
  <c r="B12" i="6"/>
  <c r="B5" i="6"/>
  <c r="F15" i="6" s="1"/>
  <c r="B9" i="6"/>
  <c r="B6" i="6"/>
  <c r="B10" i="6"/>
  <c r="B7" i="6"/>
  <c r="C2" i="4"/>
  <c r="B19" i="1"/>
  <c r="C19" i="1"/>
  <c r="E9" i="1"/>
  <c r="B17" i="1"/>
  <c r="B16" i="1"/>
  <c r="B15" i="1"/>
  <c r="B14" i="1"/>
  <c r="B13" i="1"/>
  <c r="B12" i="1"/>
  <c r="B11" i="1"/>
  <c r="B10" i="1"/>
  <c r="E5" i="1"/>
  <c r="J6" i="1" s="1"/>
  <c r="C19" i="7" l="1"/>
  <c r="D19" i="7" s="1"/>
  <c r="J19" i="1"/>
  <c r="C13" i="2" s="1"/>
  <c r="C18" i="7"/>
  <c r="D18" i="7" s="1"/>
  <c r="L23" i="2"/>
  <c r="L19" i="2"/>
  <c r="L14" i="2"/>
  <c r="L25" i="2"/>
  <c r="L21" i="2"/>
  <c r="L12" i="2"/>
  <c r="L16" i="2"/>
  <c r="L24" i="2"/>
  <c r="L20" i="2"/>
  <c r="L13" i="2"/>
  <c r="L10" i="2"/>
  <c r="L22" i="2"/>
  <c r="L11" i="2"/>
  <c r="L15" i="2"/>
  <c r="E19" i="6"/>
  <c r="C17" i="6"/>
  <c r="D16" i="6"/>
  <c r="F16" i="6"/>
  <c r="E16" i="6"/>
  <c r="E17" i="6"/>
  <c r="G16" i="6"/>
  <c r="C19" i="6"/>
  <c r="C18" i="6"/>
  <c r="E18" i="6"/>
  <c r="F2" i="4"/>
  <c r="F2" i="6"/>
  <c r="C9" i="6" s="1"/>
  <c r="E11" i="2"/>
  <c r="F11" i="2" s="1"/>
  <c r="J18" i="1"/>
  <c r="C12" i="2" s="1"/>
  <c r="E12" i="2"/>
  <c r="F12" i="2" s="1"/>
  <c r="E13" i="2"/>
  <c r="F13" i="2" s="1"/>
  <c r="B8" i="4"/>
  <c r="E13" i="1"/>
  <c r="B12" i="4"/>
  <c r="E17" i="1"/>
  <c r="B5" i="4"/>
  <c r="F15" i="4" s="1"/>
  <c r="E10" i="1"/>
  <c r="B6" i="4"/>
  <c r="E18" i="4" s="1"/>
  <c r="E11" i="1"/>
  <c r="B10" i="4"/>
  <c r="E15" i="1"/>
  <c r="B7" i="4"/>
  <c r="E12" i="1"/>
  <c r="B11" i="4"/>
  <c r="E16" i="1"/>
  <c r="B9" i="4"/>
  <c r="E14" i="1"/>
  <c r="J20" i="1"/>
  <c r="C11" i="2" s="1"/>
  <c r="D20" i="7" l="1"/>
  <c r="C10" i="6"/>
  <c r="C8" i="6"/>
  <c r="C6" i="6"/>
  <c r="C11" i="6"/>
  <c r="C12" i="6"/>
  <c r="C5" i="6"/>
  <c r="C7" i="6"/>
  <c r="D5" i="4"/>
  <c r="E5" i="4" s="1"/>
  <c r="N5" i="4" s="1"/>
  <c r="D8" i="4"/>
  <c r="E8" i="4" s="1"/>
  <c r="N8" i="4" s="1"/>
  <c r="E16" i="4"/>
  <c r="D16" i="4"/>
  <c r="G16" i="4"/>
  <c r="F16" i="4"/>
  <c r="E17" i="4"/>
  <c r="D12" i="4"/>
  <c r="E12" i="4" s="1"/>
  <c r="N12" i="4" s="1"/>
  <c r="D9" i="4"/>
  <c r="E9" i="4" s="1"/>
  <c r="N9" i="4" s="1"/>
  <c r="E19" i="4"/>
  <c r="C13" i="4"/>
  <c r="C18" i="4"/>
  <c r="C17" i="4"/>
  <c r="C19" i="4"/>
  <c r="D6" i="4"/>
  <c r="E6" i="4" s="1"/>
  <c r="N6" i="4" s="1"/>
  <c r="D11" i="4"/>
  <c r="E19" i="1"/>
  <c r="D10" i="4"/>
  <c r="E10" i="4" s="1"/>
  <c r="N10" i="4" s="1"/>
  <c r="K18" i="1"/>
  <c r="K19" i="1"/>
  <c r="D7" i="4"/>
  <c r="E7" i="4" s="1"/>
  <c r="N7" i="4" s="1"/>
  <c r="K20" i="1"/>
  <c r="L10" i="4" l="1"/>
  <c r="L9" i="4"/>
  <c r="L12" i="4"/>
  <c r="L8" i="4"/>
  <c r="L7" i="4"/>
  <c r="L5" i="4"/>
  <c r="K5" i="4"/>
  <c r="K6" i="4"/>
  <c r="L6" i="4"/>
  <c r="K10" i="4"/>
  <c r="M10" i="4"/>
  <c r="M12" i="4"/>
  <c r="F6" i="4"/>
  <c r="M6" i="4"/>
  <c r="K7" i="4"/>
  <c r="M7" i="4"/>
  <c r="M9" i="4"/>
  <c r="H5" i="4"/>
  <c r="M5" i="4"/>
  <c r="K8" i="4"/>
  <c r="M8" i="4"/>
  <c r="H9" i="4"/>
  <c r="K9" i="4"/>
  <c r="K12" i="4"/>
  <c r="H8" i="4"/>
  <c r="F8" i="4"/>
  <c r="H12" i="4"/>
  <c r="F12" i="4"/>
  <c r="F9" i="4"/>
  <c r="E11" i="4"/>
  <c r="N11" i="4" s="1"/>
  <c r="H10" i="4"/>
  <c r="H7" i="4"/>
  <c r="F10" i="4"/>
  <c r="H6" i="4"/>
  <c r="D11" i="2"/>
  <c r="D13" i="2"/>
  <c r="F7" i="4"/>
  <c r="D12" i="2"/>
  <c r="F5" i="4"/>
  <c r="L11" i="4" l="1"/>
  <c r="M11" i="4"/>
  <c r="H11" i="4"/>
  <c r="K11" i="4"/>
  <c r="G6" i="4"/>
  <c r="F11" i="4"/>
  <c r="D18" i="4" s="1"/>
  <c r="G12" i="4"/>
  <c r="G10" i="4"/>
  <c r="G7" i="4"/>
  <c r="G11" i="4"/>
  <c r="G8" i="4"/>
  <c r="G9" i="4"/>
  <c r="G5" i="4"/>
  <c r="F11" i="6"/>
  <c r="D6" i="6"/>
  <c r="E6" i="6" s="1"/>
  <c r="D8" i="6"/>
  <c r="E8" i="6" s="1"/>
  <c r="D7" i="6"/>
  <c r="E7" i="6" s="1"/>
  <c r="D9" i="6"/>
  <c r="E9" i="6" s="1"/>
  <c r="F12" i="6"/>
  <c r="F6" i="6"/>
  <c r="F9" i="6"/>
  <c r="D12" i="6"/>
  <c r="E12" i="6" s="1"/>
  <c r="F10" i="6"/>
  <c r="F7" i="6"/>
  <c r="D10" i="6"/>
  <c r="E10" i="6" s="1"/>
  <c r="D5" i="6"/>
  <c r="F5" i="6"/>
  <c r="F8" i="6"/>
  <c r="D11" i="6"/>
  <c r="E11" i="6" s="1"/>
  <c r="N9" i="6" l="1"/>
  <c r="L9" i="6"/>
  <c r="N8" i="6"/>
  <c r="L8" i="6"/>
  <c r="N7" i="6"/>
  <c r="L7" i="6"/>
  <c r="N6" i="6"/>
  <c r="L6" i="6"/>
  <c r="N5" i="6"/>
  <c r="L5" i="6"/>
  <c r="N10" i="6"/>
  <c r="L10" i="6"/>
  <c r="N12" i="6"/>
  <c r="L12" i="6"/>
  <c r="N11" i="6"/>
  <c r="L11" i="6"/>
  <c r="K11" i="6"/>
  <c r="K9" i="6"/>
  <c r="K8" i="6"/>
  <c r="K7" i="6"/>
  <c r="K6" i="6"/>
  <c r="K10" i="6"/>
  <c r="K12" i="6"/>
  <c r="K5" i="6"/>
  <c r="M11" i="6"/>
  <c r="M8" i="6"/>
  <c r="M7" i="6"/>
  <c r="G6" i="6"/>
  <c r="M6" i="6"/>
  <c r="M5" i="6"/>
  <c r="M10" i="6"/>
  <c r="M12" i="6"/>
  <c r="M9" i="6"/>
  <c r="E5" i="6"/>
  <c r="D17" i="4"/>
  <c r="C8" i="7" s="1"/>
  <c r="D8" i="7" s="1"/>
  <c r="E8" i="7" s="1"/>
  <c r="F8" i="7" s="1"/>
  <c r="D19" i="4"/>
  <c r="C9" i="7" s="1"/>
  <c r="D9" i="7" s="1"/>
  <c r="E9" i="7" s="1"/>
  <c r="G8" i="6"/>
  <c r="H6" i="6"/>
  <c r="G10" i="6"/>
  <c r="G11" i="6"/>
  <c r="H8" i="6"/>
  <c r="G9" i="6"/>
  <c r="H5" i="6"/>
  <c r="H12" i="6"/>
  <c r="G12" i="6"/>
  <c r="H10" i="6"/>
  <c r="H11" i="6"/>
  <c r="G7" i="6"/>
  <c r="G5" i="6"/>
  <c r="H7" i="6"/>
  <c r="H9" i="6"/>
  <c r="D19" i="6" l="1"/>
  <c r="C13" i="7" s="1"/>
  <c r="D13" i="7" s="1"/>
  <c r="E13" i="7" s="1"/>
  <c r="F19" i="6" s="1"/>
  <c r="D17" i="6"/>
  <c r="C12" i="7" s="1"/>
  <c r="D12" i="7" s="1"/>
  <c r="E12" i="7" s="1"/>
  <c r="F12" i="7" s="1"/>
  <c r="D18" i="6"/>
  <c r="G17" i="4"/>
  <c r="F18" i="4"/>
  <c r="F19" i="4"/>
  <c r="F9" i="7"/>
  <c r="G18" i="4"/>
  <c r="F18" i="6" l="1"/>
  <c r="G17" i="6"/>
  <c r="F13" i="7"/>
  <c r="G18" i="6"/>
</calcChain>
</file>

<file path=xl/sharedStrings.xml><?xml version="1.0" encoding="utf-8"?>
<sst xmlns="http://schemas.openxmlformats.org/spreadsheetml/2006/main" count="242" uniqueCount="126">
  <si>
    <t>House Details</t>
  </si>
  <si>
    <t>Number of pens</t>
  </si>
  <si>
    <t>House Length (m)</t>
  </si>
  <si>
    <t>House width (m)</t>
  </si>
  <si>
    <t>Fixed or adjustable pens</t>
  </si>
  <si>
    <t>Fixed</t>
  </si>
  <si>
    <t>Adjustable</t>
  </si>
  <si>
    <r>
      <t>House Area (m</t>
    </r>
    <r>
      <rPr>
        <b/>
        <vertAlign val="superscript"/>
        <sz val="18"/>
        <color theme="0"/>
        <rFont val="Calibri"/>
        <family val="2"/>
        <scheme val="minor"/>
      </rPr>
      <t>2</t>
    </r>
    <r>
      <rPr>
        <b/>
        <sz val="18"/>
        <color theme="0"/>
        <rFont val="Calibri"/>
        <family val="2"/>
        <scheme val="minor"/>
      </rPr>
      <t>)</t>
    </r>
  </si>
  <si>
    <t>Bird Details</t>
  </si>
  <si>
    <t>Ross 308</t>
  </si>
  <si>
    <t>Ross 708</t>
  </si>
  <si>
    <t>Ross PM3</t>
  </si>
  <si>
    <t>Ross 308AP</t>
  </si>
  <si>
    <t>Ross 408</t>
  </si>
  <si>
    <t>Number of birds</t>
  </si>
  <si>
    <t>Sample wt (g)</t>
  </si>
  <si>
    <t>Sample %CV</t>
  </si>
  <si>
    <t>Age (w)</t>
  </si>
  <si>
    <t>Ross 308FF</t>
  </si>
  <si>
    <t>Grading Requirement</t>
  </si>
  <si>
    <t>Light</t>
  </si>
  <si>
    <t>Normal</t>
  </si>
  <si>
    <t>Heavy</t>
  </si>
  <si>
    <r>
      <t>Stocking Density (birds/m</t>
    </r>
    <r>
      <rPr>
        <b/>
        <vertAlign val="superscript"/>
        <sz val="18"/>
        <color theme="0"/>
        <rFont val="Calibri"/>
        <family val="2"/>
        <scheme val="minor"/>
      </rPr>
      <t>2</t>
    </r>
    <r>
      <rPr>
        <b/>
        <sz val="18"/>
        <color theme="0"/>
        <rFont val="Calibri"/>
        <family val="2"/>
        <scheme val="minor"/>
      </rPr>
      <t>)</t>
    </r>
  </si>
  <si>
    <t>Target</t>
  </si>
  <si>
    <t>Ideal Grading Population</t>
  </si>
  <si>
    <t>%</t>
  </si>
  <si>
    <t>Pen Type:</t>
  </si>
  <si>
    <r>
      <t>Minimum Pen Area (m</t>
    </r>
    <r>
      <rPr>
        <vertAlign val="superscript"/>
        <sz val="18"/>
        <color theme="0"/>
        <rFont val="Calibri"/>
        <family val="2"/>
        <scheme val="minor"/>
      </rPr>
      <t>2</t>
    </r>
    <r>
      <rPr>
        <sz val="18"/>
        <color theme="0"/>
        <rFont val="Calibri"/>
        <family val="2"/>
        <scheme val="minor"/>
      </rPr>
      <t xml:space="preserve">) </t>
    </r>
    <r>
      <rPr>
        <vertAlign val="superscript"/>
        <sz val="18"/>
        <color theme="0"/>
        <rFont val="Calibri"/>
        <family val="2"/>
      </rPr>
      <t>1</t>
    </r>
  </si>
  <si>
    <r>
      <t>1. Minimum pen area based on 7 birds / m</t>
    </r>
    <r>
      <rPr>
        <vertAlign val="superscript"/>
        <sz val="16"/>
        <color theme="0"/>
        <rFont val="Calibri"/>
        <family val="2"/>
        <scheme val="minor"/>
      </rPr>
      <t>2</t>
    </r>
    <r>
      <rPr>
        <sz val="16"/>
        <color theme="0"/>
        <rFont val="Calibri"/>
        <family val="2"/>
        <scheme val="minor"/>
      </rPr>
      <t>.  The actual number of birds for each pen will also be determined by the number of feeders and drinkers - see house set up sheet.</t>
    </r>
  </si>
  <si>
    <t>Weight Allocation</t>
  </si>
  <si>
    <t>Number of Birds</t>
  </si>
  <si>
    <t>Pick Lists</t>
  </si>
  <si>
    <t>Calculations</t>
  </si>
  <si>
    <t>Feeders Required</t>
  </si>
  <si>
    <t>Drinkers Required</t>
  </si>
  <si>
    <r>
      <t>Pen Floor Area (m</t>
    </r>
    <r>
      <rPr>
        <b/>
        <vertAlign val="superscript"/>
        <sz val="18"/>
        <color theme="0"/>
        <rFont val="Calibri"/>
        <family val="2"/>
        <scheme val="minor"/>
      </rPr>
      <t>2</t>
    </r>
    <r>
      <rPr>
        <b/>
        <sz val="18"/>
        <color theme="0"/>
        <rFont val="Calibri"/>
        <family val="2"/>
        <scheme val="minor"/>
      </rPr>
      <t>)</t>
    </r>
  </si>
  <si>
    <r>
      <t>Stocking Density (bird/m</t>
    </r>
    <r>
      <rPr>
        <b/>
        <vertAlign val="superscript"/>
        <sz val="18"/>
        <color theme="0"/>
        <rFont val="Calibri"/>
        <family val="2"/>
        <scheme val="minor"/>
      </rPr>
      <t>2</t>
    </r>
    <r>
      <rPr>
        <b/>
        <sz val="18"/>
        <color theme="0"/>
        <rFont val="Calibri"/>
        <family val="2"/>
        <scheme val="minor"/>
      </rPr>
      <t>)</t>
    </r>
  </si>
  <si>
    <t>Pans</t>
  </si>
  <si>
    <t>Nipples</t>
  </si>
  <si>
    <t>Cups</t>
  </si>
  <si>
    <t>Bells</t>
  </si>
  <si>
    <t>Feeder and Drinkers Required</t>
  </si>
  <si>
    <t>Track / bird</t>
  </si>
  <si>
    <t>Birds / pan</t>
  </si>
  <si>
    <t>Bell drinkers</t>
  </si>
  <si>
    <t>Grading Type</t>
  </si>
  <si>
    <t>% of the Total Birds</t>
  </si>
  <si>
    <t>Ideal % of Birds</t>
  </si>
  <si>
    <t>Pen Length (m)</t>
  </si>
  <si>
    <t>Ideal %</t>
  </si>
  <si>
    <t>Pen floor area</t>
  </si>
  <si>
    <t>% of Birds</t>
  </si>
  <si>
    <t>Adj</t>
  </si>
  <si>
    <t>Pen Floor area</t>
  </si>
  <si>
    <t>Mean wt</t>
  </si>
  <si>
    <t>CV</t>
  </si>
  <si>
    <t>Sd</t>
  </si>
  <si>
    <t>Function</t>
  </si>
  <si>
    <t>Uniformity</t>
  </si>
  <si>
    <t>Stand dev</t>
  </si>
  <si>
    <t>Uniformity (10%)</t>
  </si>
  <si>
    <t>% from mean</t>
  </si>
  <si>
    <t>Uniformity from CV</t>
  </si>
  <si>
    <t>CV from uniformity</t>
  </si>
  <si>
    <t>% of pop</t>
  </si>
  <si>
    <t>St Dev</t>
  </si>
  <si>
    <t>1 SD</t>
  </si>
  <si>
    <t>CV%</t>
  </si>
  <si>
    <t>Sex</t>
  </si>
  <si>
    <t>Female</t>
  </si>
  <si>
    <t>Male</t>
  </si>
  <si>
    <t>Or enter:</t>
  </si>
  <si>
    <t>Drinker Type</t>
  </si>
  <si>
    <t>Feeder Type</t>
  </si>
  <si>
    <t>Track</t>
  </si>
  <si>
    <t>Equipment</t>
  </si>
  <si>
    <t>&lt;5w</t>
  </si>
  <si>
    <t>5 - 10w</t>
  </si>
  <si>
    <t>&gt;10w</t>
  </si>
  <si>
    <t>Grading Calculator Instructions</t>
  </si>
  <si>
    <r>
      <t>1.</t>
    </r>
    <r>
      <rPr>
        <sz val="7"/>
        <color theme="1"/>
        <rFont val="Times New Roman"/>
        <family val="1"/>
      </rPr>
      <t xml:space="preserve">       </t>
    </r>
    <r>
      <rPr>
        <sz val="11"/>
        <color theme="1"/>
        <rFont val="Calibri"/>
        <family val="2"/>
        <scheme val="minor"/>
      </rPr>
      <t>The spreadsheet has been written in Excel 2010 and may not function correctly in earlier versions of Excel.</t>
    </r>
  </si>
  <si>
    <r>
      <t>2.</t>
    </r>
    <r>
      <rPr>
        <sz val="7"/>
        <color theme="1"/>
        <rFont val="Times New Roman"/>
        <family val="1"/>
      </rPr>
      <t xml:space="preserve">       </t>
    </r>
    <r>
      <rPr>
        <sz val="11"/>
        <color theme="1"/>
        <rFont val="Calibri"/>
        <family val="2"/>
        <scheme val="minor"/>
      </rPr>
      <t>Macros must be enabled to use this spreadsheet.  Save the spreadsheet to your computer and then when asked enable editing and enable Macros.  Please check with your local IT department if you have any problem running Macros on your computer.</t>
    </r>
  </si>
  <si>
    <r>
      <t>3.</t>
    </r>
    <r>
      <rPr>
        <sz val="7"/>
        <color theme="1"/>
        <rFont val="Times New Roman"/>
        <family val="1"/>
      </rPr>
      <t xml:space="preserve">       </t>
    </r>
    <r>
      <rPr>
        <sz val="11"/>
        <color theme="1"/>
        <rFont val="Calibri"/>
        <family val="2"/>
        <scheme val="minor"/>
      </rPr>
      <t>White cells are used for data input either by drop down list or actual numerical data entry when required.</t>
    </r>
  </si>
  <si>
    <r>
      <t>4.</t>
    </r>
    <r>
      <rPr>
        <sz val="7"/>
        <color theme="1"/>
        <rFont val="Times New Roman"/>
        <family val="1"/>
      </rPr>
      <t xml:space="preserve">       </t>
    </r>
    <r>
      <rPr>
        <sz val="11"/>
        <color theme="1"/>
        <rFont val="Calibri"/>
        <family val="2"/>
        <scheme val="minor"/>
      </rPr>
      <t>Enter data in:</t>
    </r>
  </si>
  <si>
    <r>
      <t>a.</t>
    </r>
    <r>
      <rPr>
        <sz val="7"/>
        <color theme="1"/>
        <rFont val="Times New Roman"/>
        <family val="1"/>
      </rPr>
      <t xml:space="preserve">       </t>
    </r>
    <r>
      <rPr>
        <sz val="11"/>
        <color theme="1"/>
        <rFont val="Calibri"/>
        <family val="2"/>
        <scheme val="minor"/>
      </rPr>
      <t>Cell C4 – House length in meters</t>
    </r>
  </si>
  <si>
    <r>
      <t>b.</t>
    </r>
    <r>
      <rPr>
        <sz val="7"/>
        <color theme="1"/>
        <rFont val="Times New Roman"/>
        <family val="1"/>
      </rPr>
      <t xml:space="preserve">      </t>
    </r>
    <r>
      <rPr>
        <sz val="11"/>
        <color theme="1"/>
        <rFont val="Calibri"/>
        <family val="2"/>
        <scheme val="minor"/>
      </rPr>
      <t>Cell C5 – House width in meters</t>
    </r>
  </si>
  <si>
    <r>
      <t>c.</t>
    </r>
    <r>
      <rPr>
        <sz val="7"/>
        <color theme="1"/>
        <rFont val="Times New Roman"/>
        <family val="1"/>
      </rPr>
      <t xml:space="preserve">       </t>
    </r>
    <r>
      <rPr>
        <sz val="11"/>
        <color theme="1"/>
        <rFont val="Calibri"/>
        <family val="2"/>
        <scheme val="minor"/>
      </rPr>
      <t>Cell C6 – Number of pens in house to be graded from drop down list</t>
    </r>
  </si>
  <si>
    <r>
      <t>d.</t>
    </r>
    <r>
      <rPr>
        <sz val="7"/>
        <color theme="1"/>
        <rFont val="Times New Roman"/>
        <family val="1"/>
      </rPr>
      <t xml:space="preserve">      </t>
    </r>
    <r>
      <rPr>
        <sz val="11"/>
        <color theme="1"/>
        <rFont val="Calibri"/>
        <family val="2"/>
        <scheme val="minor"/>
      </rPr>
      <t>Cell C7 – Grading pens are adjustable or fixed from drop down list</t>
    </r>
  </si>
  <si>
    <r>
      <t>e.</t>
    </r>
    <r>
      <rPr>
        <sz val="7"/>
        <color theme="1"/>
        <rFont val="Times New Roman"/>
        <family val="1"/>
      </rPr>
      <t xml:space="preserve">      </t>
    </r>
    <r>
      <rPr>
        <sz val="11"/>
        <color theme="1"/>
        <rFont val="Calibri"/>
        <family val="2"/>
        <scheme val="minor"/>
      </rPr>
      <t>Cells C10 to C17 -If fixed penning selected in Cell C7 enter pen lengths as indicated</t>
    </r>
  </si>
  <si>
    <r>
      <t>f.</t>
    </r>
    <r>
      <rPr>
        <sz val="7"/>
        <color theme="1"/>
        <rFont val="Times New Roman"/>
        <family val="1"/>
      </rPr>
      <t xml:space="preserve">        </t>
    </r>
    <r>
      <rPr>
        <sz val="11"/>
        <color theme="1"/>
        <rFont val="Calibri"/>
        <family val="2"/>
        <scheme val="minor"/>
      </rPr>
      <t>Cell H4 – Sex of birds to be graded, from drop down list</t>
    </r>
  </si>
  <si>
    <r>
      <t>g.</t>
    </r>
    <r>
      <rPr>
        <sz val="7"/>
        <color theme="1"/>
        <rFont val="Times New Roman"/>
        <family val="1"/>
      </rPr>
      <t xml:space="preserve">       </t>
    </r>
    <r>
      <rPr>
        <sz val="11"/>
        <color theme="1"/>
        <rFont val="Calibri"/>
        <family val="2"/>
        <scheme val="minor"/>
      </rPr>
      <t>Cell H5 – Age in weeks of birds to be graded</t>
    </r>
  </si>
  <si>
    <r>
      <t>h.</t>
    </r>
    <r>
      <rPr>
        <sz val="7"/>
        <color theme="1"/>
        <rFont val="Times New Roman"/>
        <family val="1"/>
      </rPr>
      <t xml:space="preserve">      </t>
    </r>
    <r>
      <rPr>
        <sz val="11"/>
        <color theme="1"/>
        <rFont val="Calibri"/>
        <family val="2"/>
        <scheme val="minor"/>
      </rPr>
      <t>Cell H6 – Number of birds in the house to be graded</t>
    </r>
  </si>
  <si>
    <r>
      <t>i.</t>
    </r>
    <r>
      <rPr>
        <sz val="7"/>
        <color theme="1"/>
        <rFont val="Times New Roman"/>
        <family val="1"/>
      </rPr>
      <t xml:space="preserve">         </t>
    </r>
    <r>
      <rPr>
        <sz val="11"/>
        <color theme="1"/>
        <rFont val="Calibri"/>
        <family val="2"/>
        <scheme val="minor"/>
      </rPr>
      <t>Cell H7 – Average bird weight from sample weighing prior to grading</t>
    </r>
  </si>
  <si>
    <r>
      <t>j.</t>
    </r>
    <r>
      <rPr>
        <sz val="7"/>
        <color theme="1"/>
        <rFont val="Times New Roman"/>
        <family val="1"/>
      </rPr>
      <t xml:space="preserve">        </t>
    </r>
    <r>
      <rPr>
        <sz val="11"/>
        <color theme="1"/>
        <rFont val="Calibri"/>
        <family val="2"/>
        <scheme val="minor"/>
      </rPr>
      <t>Cell H8 – If grading using CV%, enter sample weighing CV%</t>
    </r>
  </si>
  <si>
    <r>
      <t>k.</t>
    </r>
    <r>
      <rPr>
        <sz val="7"/>
        <color theme="1"/>
        <rFont val="Times New Roman"/>
        <family val="1"/>
      </rPr>
      <t xml:space="preserve">       </t>
    </r>
    <r>
      <rPr>
        <sz val="11"/>
        <color theme="1"/>
        <rFont val="Calibri"/>
        <family val="2"/>
        <scheme val="minor"/>
      </rPr>
      <t>Cell H11 - If grading using uniformity, enter sample weighing uniformity</t>
    </r>
  </si>
  <si>
    <r>
      <t>l.</t>
    </r>
    <r>
      <rPr>
        <sz val="7"/>
        <color theme="1"/>
        <rFont val="Times New Roman"/>
        <family val="1"/>
      </rPr>
      <t xml:space="preserve">         </t>
    </r>
    <r>
      <rPr>
        <sz val="11"/>
        <color theme="1"/>
        <rFont val="Calibri"/>
        <family val="2"/>
        <scheme val="minor"/>
      </rPr>
      <t>Cells L5 and L8 – Enter drinker and feeder type in house from drop down list.</t>
    </r>
  </si>
  <si>
    <r>
      <t>5.</t>
    </r>
    <r>
      <rPr>
        <sz val="7"/>
        <color theme="1"/>
        <rFont val="Times New Roman"/>
        <family val="1"/>
      </rPr>
      <t xml:space="preserve">       </t>
    </r>
    <r>
      <rPr>
        <sz val="11"/>
        <color theme="1"/>
        <rFont val="Calibri"/>
        <family val="2"/>
        <scheme val="minor"/>
      </rPr>
      <t>Stocking density and grading requirements are calculated automatically on the data input sheet using the data supplied.</t>
    </r>
  </si>
  <si>
    <r>
      <t>6.</t>
    </r>
    <r>
      <rPr>
        <sz val="7"/>
        <color theme="1"/>
        <rFont val="Times New Roman"/>
        <family val="1"/>
      </rPr>
      <t xml:space="preserve">       </t>
    </r>
    <r>
      <rPr>
        <sz val="11"/>
        <color theme="1"/>
        <rFont val="Calibri"/>
        <family val="2"/>
        <scheme val="minor"/>
      </rPr>
      <t>If using fixed penning click on the blue “Fixed pens” button which will take you to the grading sheet.</t>
    </r>
  </si>
  <si>
    <r>
      <t>7.</t>
    </r>
    <r>
      <rPr>
        <sz val="7"/>
        <color theme="1"/>
        <rFont val="Times New Roman"/>
        <family val="1"/>
      </rPr>
      <t xml:space="preserve">       </t>
    </r>
    <r>
      <rPr>
        <sz val="11"/>
        <color theme="1"/>
        <rFont val="Calibri"/>
        <family val="2"/>
        <scheme val="minor"/>
      </rPr>
      <t>If using adjustable penning click on the blue “Adjustable pens” button which will take you to the grading sheet.</t>
    </r>
  </si>
  <si>
    <r>
      <t>8.</t>
    </r>
    <r>
      <rPr>
        <sz val="7"/>
        <color theme="1"/>
        <rFont val="Times New Roman"/>
        <family val="1"/>
      </rPr>
      <t xml:space="preserve">       </t>
    </r>
    <r>
      <rPr>
        <sz val="11"/>
        <color theme="1"/>
        <rFont val="Calibri"/>
        <family val="2"/>
        <scheme val="minor"/>
      </rPr>
      <t>Fixed Pens button:</t>
    </r>
  </si>
  <si>
    <r>
      <t>a.</t>
    </r>
    <r>
      <rPr>
        <sz val="7"/>
        <color theme="1"/>
        <rFont val="Times New Roman"/>
        <family val="1"/>
      </rPr>
      <t xml:space="preserve">       </t>
    </r>
    <r>
      <rPr>
        <sz val="11"/>
        <color theme="1"/>
        <rFont val="Calibri"/>
        <family val="2"/>
        <scheme val="minor"/>
      </rPr>
      <t>Cells C5 to C12 - Enter the weight allocation to be placed in each pen according to grading preference from the drop down list – Light, Normal or Heavy and the number of fixed pens in the house.</t>
    </r>
  </si>
  <si>
    <r>
      <t>b.</t>
    </r>
    <r>
      <rPr>
        <sz val="7"/>
        <color theme="1"/>
        <rFont val="Times New Roman"/>
        <family val="1"/>
      </rPr>
      <t xml:space="preserve">      </t>
    </r>
    <r>
      <rPr>
        <sz val="11"/>
        <color theme="1"/>
        <rFont val="Calibri"/>
        <family val="2"/>
        <scheme val="minor"/>
      </rPr>
      <t>All other areas of the sheet will be populated automatically from the data supplied in the data entry sheet showing:</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</si>
  <si>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Type of penning</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</si>
  <si>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Number of pens</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</si>
  <si>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Pen area</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</si>
  <si>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Pen length</t>
    </r>
  </si>
  <si>
    <r>
      <t xml:space="preserve">                                                             </t>
    </r>
    <r>
      <rPr>
        <sz val="11"/>
        <color theme="1"/>
        <rFont val="Calibri"/>
        <family val="2"/>
        <scheme val="minor"/>
      </rPr>
      <t>v.</t>
    </r>
    <r>
      <rPr>
        <sz val="7"/>
        <color theme="1"/>
        <rFont val="Times New Roman"/>
        <family val="1"/>
      </rPr>
      <t xml:space="preserve">      </t>
    </r>
    <r>
      <rPr>
        <sz val="11"/>
        <color theme="1"/>
        <rFont val="Calibri"/>
        <family val="2"/>
        <scheme val="minor"/>
      </rPr>
      <t>Number of birds per pen</t>
    </r>
  </si>
  <si>
    <r>
      <t xml:space="preserve">                                                           </t>
    </r>
    <r>
      <rPr>
        <sz val="11"/>
        <color theme="1"/>
        <rFont val="Calibri"/>
        <family val="2"/>
        <scheme val="minor"/>
      </rPr>
      <t>vi.</t>
    </r>
    <r>
      <rPr>
        <sz val="7"/>
        <color theme="1"/>
        <rFont val="Times New Roman"/>
        <family val="1"/>
      </rPr>
      <t xml:space="preserve">      </t>
    </r>
    <r>
      <rPr>
        <sz val="11"/>
        <color theme="1"/>
        <rFont val="Calibri"/>
        <family val="2"/>
        <scheme val="minor"/>
      </rPr>
      <t>% of total bird population per pen</t>
    </r>
  </si>
  <si>
    <r>
      <t xml:space="preserve">                                                          </t>
    </r>
    <r>
      <rPr>
        <sz val="11"/>
        <color theme="1"/>
        <rFont val="Calibri"/>
        <family val="2"/>
        <scheme val="minor"/>
      </rPr>
      <t>vii.</t>
    </r>
    <r>
      <rPr>
        <sz val="7"/>
        <color theme="1"/>
        <rFont val="Times New Roman"/>
        <family val="1"/>
      </rPr>
      <t xml:space="preserve">      </t>
    </r>
    <r>
      <rPr>
        <sz val="11"/>
        <color theme="1"/>
        <rFont val="Calibri"/>
        <family val="2"/>
        <scheme val="minor"/>
      </rPr>
      <t>Stocking density per pen</t>
    </r>
  </si>
  <si>
    <r>
      <t xml:space="preserve">                                                        </t>
    </r>
    <r>
      <rPr>
        <sz val="11"/>
        <color theme="1"/>
        <rFont val="Calibri"/>
        <family val="2"/>
        <scheme val="minor"/>
      </rPr>
      <t>viii.</t>
    </r>
    <r>
      <rPr>
        <sz val="7"/>
        <color theme="1"/>
        <rFont val="Times New Roman"/>
        <family val="1"/>
      </rPr>
      <t xml:space="preserve">      </t>
    </r>
    <r>
      <rPr>
        <sz val="11"/>
        <color theme="1"/>
        <rFont val="Calibri"/>
        <family val="2"/>
        <scheme val="minor"/>
      </rPr>
      <t>Feeder and drinker requirements per pen</t>
    </r>
  </si>
  <si>
    <r>
      <t xml:space="preserve">                                                           </t>
    </r>
    <r>
      <rPr>
        <sz val="11"/>
        <color theme="1"/>
        <rFont val="Calibri"/>
        <family val="2"/>
        <scheme val="minor"/>
      </rPr>
      <t>ix.</t>
    </r>
    <r>
      <rPr>
        <sz val="7"/>
        <color theme="1"/>
        <rFont val="Times New Roman"/>
        <family val="1"/>
      </rPr>
      <t xml:space="preserve">      </t>
    </r>
    <r>
      <rPr>
        <sz val="11"/>
        <color theme="1"/>
        <rFont val="Calibri"/>
        <family val="2"/>
        <scheme val="minor"/>
      </rPr>
      <t>Minimum and maximum bird weight per pen.</t>
    </r>
  </si>
  <si>
    <r>
      <t>c.</t>
    </r>
    <r>
      <rPr>
        <sz val="7"/>
        <color theme="1"/>
        <rFont val="Times New Roman"/>
        <family val="1"/>
      </rPr>
      <t xml:space="preserve">       </t>
    </r>
    <r>
      <rPr>
        <sz val="11"/>
        <color theme="1"/>
        <rFont val="Calibri"/>
        <family val="2"/>
        <scheme val="minor"/>
      </rPr>
      <t>Press the blue “Print Sheet” button and select the printer to be used. This will print the current sheet for use in the house during the grading process.</t>
    </r>
  </si>
  <si>
    <r>
      <t>d.</t>
    </r>
    <r>
      <rPr>
        <sz val="7"/>
        <color theme="1"/>
        <rFont val="Times New Roman"/>
        <family val="1"/>
      </rPr>
      <t xml:space="preserve">      </t>
    </r>
    <r>
      <rPr>
        <sz val="11"/>
        <color theme="1"/>
        <rFont val="Calibri"/>
        <family val="2"/>
        <scheme val="minor"/>
      </rPr>
      <t>Press the blue “Data Entry” button to return to the data entry sheet.</t>
    </r>
  </si>
  <si>
    <r>
      <t>9.</t>
    </r>
    <r>
      <rPr>
        <sz val="7"/>
        <color theme="1"/>
        <rFont val="Times New Roman"/>
        <family val="1"/>
      </rPr>
      <t xml:space="preserve">       </t>
    </r>
    <r>
      <rPr>
        <sz val="11"/>
        <color theme="1"/>
        <rFont val="Calibri"/>
        <family val="2"/>
        <scheme val="minor"/>
      </rPr>
      <t>Adjustable Pens button:</t>
    </r>
  </si>
  <si>
    <r>
      <t>a.</t>
    </r>
    <r>
      <rPr>
        <sz val="7"/>
        <color theme="1"/>
        <rFont val="Times New Roman"/>
        <family val="1"/>
      </rPr>
      <t xml:space="preserve">       </t>
    </r>
    <r>
      <rPr>
        <sz val="11"/>
        <color theme="1"/>
        <rFont val="Calibri"/>
        <family val="2"/>
        <scheme val="minor"/>
      </rPr>
      <t>All areas of the sheet will be populated automatically from the data supplied in the data entry sheet showing:</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</si>
  <si>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Weight allocation per pen</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</si>
  <si>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Pen area</t>
    </r>
  </si>
  <si>
    <r>
      <t xml:space="preserve">                                                             </t>
    </r>
    <r>
      <rPr>
        <sz val="11"/>
        <color theme="1"/>
        <rFont val="Calibri"/>
        <family val="2"/>
        <scheme val="minor"/>
      </rPr>
      <t>v.</t>
    </r>
    <r>
      <rPr>
        <sz val="7"/>
        <color theme="1"/>
        <rFont val="Times New Roman"/>
        <family val="1"/>
      </rPr>
      <t xml:space="preserve">      </t>
    </r>
    <r>
      <rPr>
        <sz val="11"/>
        <color theme="1"/>
        <rFont val="Calibri"/>
        <family val="2"/>
        <scheme val="minor"/>
      </rPr>
      <t>Pen length</t>
    </r>
  </si>
  <si>
    <r>
      <t xml:space="preserve">                                                           </t>
    </r>
    <r>
      <rPr>
        <sz val="11"/>
        <color theme="1"/>
        <rFont val="Calibri"/>
        <family val="2"/>
        <scheme val="minor"/>
      </rPr>
      <t>vi.</t>
    </r>
    <r>
      <rPr>
        <sz val="7"/>
        <color theme="1"/>
        <rFont val="Times New Roman"/>
        <family val="1"/>
      </rPr>
      <t xml:space="preserve">      </t>
    </r>
    <r>
      <rPr>
        <sz val="11"/>
        <color theme="1"/>
        <rFont val="Calibri"/>
        <family val="2"/>
        <scheme val="minor"/>
      </rPr>
      <t>Number of birds per pen</t>
    </r>
  </si>
  <si>
    <r>
      <t xml:space="preserve">                                                          </t>
    </r>
    <r>
      <rPr>
        <sz val="11"/>
        <color theme="1"/>
        <rFont val="Calibri"/>
        <family val="2"/>
        <scheme val="minor"/>
      </rPr>
      <t>vii.</t>
    </r>
    <r>
      <rPr>
        <sz val="7"/>
        <color theme="1"/>
        <rFont val="Times New Roman"/>
        <family val="1"/>
      </rPr>
      <t xml:space="preserve">      </t>
    </r>
    <r>
      <rPr>
        <sz val="11"/>
        <color theme="1"/>
        <rFont val="Calibri"/>
        <family val="2"/>
        <scheme val="minor"/>
      </rPr>
      <t>% of total bird population per pen</t>
    </r>
  </si>
  <si>
    <r>
      <t xml:space="preserve">                                                        </t>
    </r>
    <r>
      <rPr>
        <sz val="11"/>
        <color theme="1"/>
        <rFont val="Calibri"/>
        <family val="2"/>
        <scheme val="minor"/>
      </rPr>
      <t>viii.</t>
    </r>
    <r>
      <rPr>
        <sz val="7"/>
        <color theme="1"/>
        <rFont val="Times New Roman"/>
        <family val="1"/>
      </rPr>
      <t xml:space="preserve">      </t>
    </r>
    <r>
      <rPr>
        <sz val="11"/>
        <color theme="1"/>
        <rFont val="Calibri"/>
        <family val="2"/>
        <scheme val="minor"/>
      </rPr>
      <t>Stocking density per pen</t>
    </r>
  </si>
  <si>
    <r>
      <t xml:space="preserve">                                                           </t>
    </r>
    <r>
      <rPr>
        <sz val="11"/>
        <color theme="1"/>
        <rFont val="Calibri"/>
        <family val="2"/>
        <scheme val="minor"/>
      </rPr>
      <t>ix.</t>
    </r>
    <r>
      <rPr>
        <sz val="7"/>
        <color theme="1"/>
        <rFont val="Times New Roman"/>
        <family val="1"/>
      </rPr>
      <t xml:space="preserve">      </t>
    </r>
    <r>
      <rPr>
        <sz val="11"/>
        <color theme="1"/>
        <rFont val="Calibri"/>
        <family val="2"/>
        <scheme val="minor"/>
      </rPr>
      <t>Feeder and drinker requirements per pen</t>
    </r>
  </si>
  <si>
    <r>
      <t xml:space="preserve">                                                             </t>
    </r>
    <r>
      <rPr>
        <sz val="11"/>
        <color theme="1"/>
        <rFont val="Calibri"/>
        <family val="2"/>
        <scheme val="minor"/>
      </rPr>
      <t>x.</t>
    </r>
    <r>
      <rPr>
        <sz val="7"/>
        <color theme="1"/>
        <rFont val="Times New Roman"/>
        <family val="1"/>
      </rPr>
      <t xml:space="preserve">      </t>
    </r>
    <r>
      <rPr>
        <sz val="11"/>
        <color theme="1"/>
        <rFont val="Calibri"/>
        <family val="2"/>
        <scheme val="minor"/>
      </rPr>
      <t>Minimum and maximum bird weight per pen.</t>
    </r>
  </si>
  <si>
    <r>
      <t>b.</t>
    </r>
    <r>
      <rPr>
        <sz val="7"/>
        <color theme="1"/>
        <rFont val="Times New Roman"/>
        <family val="1"/>
      </rPr>
      <t xml:space="preserve">      </t>
    </r>
    <r>
      <rPr>
        <sz val="11"/>
        <color theme="1"/>
        <rFont val="Calibri"/>
        <family val="2"/>
        <scheme val="minor"/>
      </rPr>
      <t>Press the blue “Print Sheet” button and select the printer to be used. This will print the current sheet for use in the house during the grading process.</t>
    </r>
  </si>
  <si>
    <r>
      <t>c.</t>
    </r>
    <r>
      <rPr>
        <sz val="7"/>
        <color theme="1"/>
        <rFont val="Times New Roman"/>
        <family val="1"/>
      </rPr>
      <t xml:space="preserve">       </t>
    </r>
    <r>
      <rPr>
        <sz val="11"/>
        <color theme="1"/>
        <rFont val="Calibri"/>
        <family val="2"/>
        <scheme val="minor"/>
      </rPr>
      <t>Press the blue “Data Entry” button to return to the data entry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</si>
</sst>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1"/>
      <color theme="1"/>
      <name val="Calibri"/>
      <family val="2"/>
      <scheme val="minor"/>
    </font>
    <font>
      <sz val="11"/>
      <color theme="1"/>
      <name val="Calibri"/>
      <family val="2"/>
      <scheme val="minor"/>
    </font>
    <font>
      <sz val="18"/>
      <color theme="0"/>
      <name val="Calibri"/>
      <family val="2"/>
      <scheme val="minor"/>
    </font>
    <font>
      <sz val="18"/>
      <name val="Calibri"/>
      <family val="2"/>
      <scheme val="minor"/>
    </font>
    <font>
      <b/>
      <sz val="18"/>
      <color theme="0"/>
      <name val="Calibri"/>
      <family val="2"/>
      <scheme val="minor"/>
    </font>
    <font>
      <b/>
      <u/>
      <sz val="28"/>
      <color theme="0"/>
      <name val="Calibri"/>
      <family val="2"/>
      <scheme val="minor"/>
    </font>
    <font>
      <vertAlign val="superscript"/>
      <sz val="18"/>
      <color theme="0"/>
      <name val="Calibri"/>
      <family val="2"/>
      <scheme val="minor"/>
    </font>
    <font>
      <b/>
      <vertAlign val="superscript"/>
      <sz val="18"/>
      <color theme="0"/>
      <name val="Calibri"/>
      <family val="2"/>
      <scheme val="minor"/>
    </font>
    <font>
      <sz val="11"/>
      <name val="Calibri"/>
      <family val="2"/>
      <scheme val="minor"/>
    </font>
    <font>
      <vertAlign val="superscript"/>
      <sz val="18"/>
      <color theme="0"/>
      <name val="Calibri"/>
      <family val="2"/>
    </font>
    <font>
      <sz val="16"/>
      <color theme="0"/>
      <name val="Calibri"/>
      <family val="2"/>
      <scheme val="minor"/>
    </font>
    <font>
      <vertAlign val="superscript"/>
      <sz val="16"/>
      <color theme="0"/>
      <name val="Calibri"/>
      <family val="2"/>
      <scheme val="minor"/>
    </font>
    <font>
      <b/>
      <sz val="11"/>
      <color theme="1"/>
      <name val="Calibri"/>
      <family val="2"/>
      <scheme val="minor"/>
    </font>
    <font>
      <b/>
      <sz val="18"/>
      <color rgb="FFFF0000"/>
      <name val="Calibri"/>
      <family val="2"/>
      <scheme val="minor"/>
    </font>
    <font>
      <i/>
      <sz val="18"/>
      <color theme="0"/>
      <name val="Calibri"/>
      <family val="2"/>
      <scheme val="minor"/>
    </font>
    <font>
      <sz val="7"/>
      <color theme="1"/>
      <name val="Times New Roman"/>
      <family val="1"/>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499984740745262"/>
        <bgColor indexed="64"/>
      </patternFill>
    </fill>
    <fill>
      <patternFill patternType="solid">
        <fgColor theme="2" tint="-0.499984740745262"/>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theme="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61">
    <xf numFmtId="0" fontId="0" fillId="0" borderId="0" xfId="0"/>
    <xf numFmtId="0" fontId="2" fillId="2" borderId="0" xfId="0" applyFont="1" applyFill="1"/>
    <xf numFmtId="0" fontId="4" fillId="2" borderId="0" xfId="0" applyFont="1" applyFill="1"/>
    <xf numFmtId="0" fontId="5"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0" borderId="0" xfId="0" applyAlignment="1">
      <alignment horizontal="left"/>
    </xf>
    <xf numFmtId="0" fontId="2" fillId="2" borderId="0" xfId="0" applyFont="1" applyFill="1" applyAlignment="1">
      <alignment horizontal="right"/>
    </xf>
    <xf numFmtId="0" fontId="8" fillId="4" borderId="0" xfId="0" applyFont="1" applyFill="1"/>
    <xf numFmtId="1" fontId="8" fillId="4" borderId="0" xfId="0" applyNumberFormat="1" applyFont="1" applyFill="1"/>
    <xf numFmtId="0" fontId="8" fillId="4" borderId="0" xfId="0" applyFont="1" applyFill="1" applyBorder="1"/>
    <xf numFmtId="1" fontId="8" fillId="4" borderId="0" xfId="0" applyNumberFormat="1" applyFont="1" applyFill="1" applyBorder="1"/>
    <xf numFmtId="0" fontId="8" fillId="4" borderId="0" xfId="0" applyFont="1" applyFill="1"/>
    <xf numFmtId="0" fontId="0" fillId="4" borderId="0" xfId="0" applyFont="1" applyFill="1"/>
    <xf numFmtId="1" fontId="0" fillId="4" borderId="0" xfId="0" applyNumberFormat="1" applyFont="1" applyFill="1"/>
    <xf numFmtId="164" fontId="2" fillId="2" borderId="0" xfId="0" applyNumberFormat="1" applyFont="1" applyFill="1" applyAlignment="1">
      <alignment horizontal="center"/>
    </xf>
    <xf numFmtId="16" fontId="2" fillId="2" borderId="0" xfId="0" applyNumberFormat="1" applyFont="1" applyFill="1" applyAlignment="1">
      <alignment horizontal="center"/>
    </xf>
    <xf numFmtId="1" fontId="2" fillId="2" borderId="0" xfId="0" applyNumberFormat="1" applyFont="1" applyFill="1" applyAlignment="1">
      <alignment horizontal="center"/>
    </xf>
    <xf numFmtId="0" fontId="4" fillId="2" borderId="0" xfId="0" applyFont="1" applyFill="1" applyAlignment="1">
      <alignment horizontal="center" wrapText="1"/>
    </xf>
    <xf numFmtId="0" fontId="12" fillId="0" borderId="0" xfId="0" applyFont="1" applyAlignment="1">
      <alignment horizontal="left"/>
    </xf>
    <xf numFmtId="0" fontId="4" fillId="2" borderId="0" xfId="0" applyFont="1" applyFill="1" applyAlignment="1">
      <alignment horizontal="right"/>
    </xf>
    <xf numFmtId="0" fontId="13" fillId="2" borderId="0" xfId="0" applyFont="1" applyFill="1"/>
    <xf numFmtId="0" fontId="0" fillId="2" borderId="0" xfId="0" applyFill="1"/>
    <xf numFmtId="1" fontId="2" fillId="5" borderId="0" xfId="0" applyNumberFormat="1" applyFont="1" applyFill="1" applyAlignment="1">
      <alignment horizontal="center"/>
    </xf>
    <xf numFmtId="0" fontId="2" fillId="5" borderId="0" xfId="0" applyFont="1" applyFill="1" applyAlignment="1">
      <alignment horizontal="center"/>
    </xf>
    <xf numFmtId="0" fontId="4" fillId="2" borderId="4" xfId="0" applyFont="1" applyFill="1" applyBorder="1" applyAlignment="1">
      <alignment horizontal="center" wrapText="1"/>
    </xf>
    <xf numFmtId="0" fontId="4" fillId="5" borderId="4" xfId="0" applyFont="1" applyFill="1" applyBorder="1" applyAlignment="1">
      <alignment horizontal="center" wrapText="1"/>
    </xf>
    <xf numFmtId="0" fontId="4" fillId="5" borderId="4" xfId="0" applyFont="1" applyFill="1" applyBorder="1" applyAlignment="1">
      <alignment horizontal="center"/>
    </xf>
    <xf numFmtId="0" fontId="4" fillId="2" borderId="4" xfId="0" applyFont="1" applyFill="1" applyBorder="1" applyAlignment="1">
      <alignment horizontal="center"/>
    </xf>
    <xf numFmtId="0" fontId="2" fillId="2" borderId="0" xfId="0" applyFont="1" applyFill="1" applyBorder="1" applyAlignment="1">
      <alignment horizontal="center"/>
    </xf>
    <xf numFmtId="1" fontId="0" fillId="0" borderId="0" xfId="0" applyNumberFormat="1" applyAlignment="1">
      <alignment horizontal="left"/>
    </xf>
    <xf numFmtId="1" fontId="2" fillId="2" borderId="0" xfId="0" applyNumberFormat="1" applyFont="1" applyFill="1"/>
    <xf numFmtId="164" fontId="2" fillId="5" borderId="0" xfId="0" applyNumberFormat="1" applyFont="1" applyFill="1" applyAlignment="1">
      <alignment horizontal="center"/>
    </xf>
    <xf numFmtId="165" fontId="0" fillId="0" borderId="0" xfId="0" applyNumberFormat="1"/>
    <xf numFmtId="1" fontId="0" fillId="0" borderId="0" xfId="0" applyNumberFormat="1"/>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4" fillId="2" borderId="0" xfId="0" applyFont="1" applyFill="1" applyAlignment="1">
      <alignment horizontal="center"/>
    </xf>
    <xf numFmtId="0" fontId="0" fillId="0" borderId="0" xfId="0" applyAlignment="1">
      <alignment wrapText="1"/>
    </xf>
    <xf numFmtId="164" fontId="0" fillId="0" borderId="0" xfId="0" applyNumberFormat="1"/>
    <xf numFmtId="164" fontId="2" fillId="2" borderId="0" xfId="2" applyNumberFormat="1" applyFont="1" applyFill="1" applyAlignment="1">
      <alignment horizontal="center"/>
    </xf>
    <xf numFmtId="164" fontId="0" fillId="0" borderId="0" xfId="0" applyNumberFormat="1" applyAlignment="1">
      <alignment horizontal="left"/>
    </xf>
    <xf numFmtId="0" fontId="14" fillId="2" borderId="0" xfId="0" applyFont="1" applyFill="1" applyAlignment="1">
      <alignment horizontal="center"/>
    </xf>
    <xf numFmtId="0" fontId="3" fillId="3" borderId="6" xfId="0" applyFont="1" applyFill="1" applyBorder="1" applyAlignment="1" applyProtection="1">
      <alignment horizontal="center"/>
      <protection locked="0"/>
    </xf>
    <xf numFmtId="0" fontId="4" fillId="2" borderId="0" xfId="0" applyFont="1" applyFill="1" applyAlignment="1">
      <alignment horizontal="center" wrapText="1"/>
    </xf>
    <xf numFmtId="0" fontId="12" fillId="0" borderId="0" xfId="0" applyFont="1"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15" fillId="0" borderId="0" xfId="0" applyFont="1" applyAlignment="1">
      <alignment horizontal="left" vertical="center" indent="15"/>
    </xf>
    <xf numFmtId="0" fontId="2" fillId="2" borderId="0" xfId="0" applyFont="1" applyFill="1" applyAlignment="1">
      <alignment horizontal="center" wrapText="1"/>
    </xf>
    <xf numFmtId="0" fontId="10" fillId="2" borderId="0" xfId="0" applyFont="1" applyFill="1" applyAlignment="1">
      <alignment horizontal="left" wrapText="1"/>
    </xf>
    <xf numFmtId="0" fontId="4" fillId="2" borderId="0" xfId="0" applyFont="1" applyFill="1" applyAlignment="1">
      <alignment horizontal="center" wrapText="1"/>
    </xf>
    <xf numFmtId="0" fontId="4" fillId="2" borderId="0" xfId="0" applyFont="1" applyFill="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xf>
    <xf numFmtId="0" fontId="4" fillId="7" borderId="0" xfId="0" applyFont="1" applyFill="1" applyAlignment="1">
      <alignment horizontal="center"/>
    </xf>
    <xf numFmtId="0" fontId="4" fillId="6" borderId="0" xfId="0" applyFont="1" applyFill="1" applyAlignment="1">
      <alignment horizontal="center"/>
    </xf>
  </cellXfs>
  <cellStyles count="3">
    <cellStyle name="Normal" xfId="0" builtinId="0"/>
    <cellStyle name="Normal 6" xfId="1"/>
    <cellStyle name="Percent" xfId="2" builtinId="5"/>
  </cellStyles>
  <dxfs count="23">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ont>
        <b/>
        <i val="0"/>
        <color rgb="FFFF0000"/>
      </font>
    </dxf>
    <dxf>
      <fill>
        <patternFill>
          <bgColor theme="3"/>
        </patternFill>
      </fill>
      <border>
        <left/>
        <right/>
        <top/>
        <bottom/>
        <vertical/>
        <horizontal/>
      </border>
    </dxf>
    <dxf>
      <font>
        <b/>
        <i val="0"/>
        <color rgb="FFFF0000"/>
      </font>
    </dxf>
    <dxf>
      <fill>
        <patternFill>
          <bgColor theme="3"/>
        </patternFill>
      </fill>
      <border>
        <left/>
        <right/>
        <top style="thin">
          <color auto="1"/>
        </top>
        <bottom/>
      </border>
    </dxf>
    <dxf>
      <fill>
        <patternFill>
          <bgColor theme="3"/>
        </patternFill>
      </fill>
      <border>
        <left/>
        <right/>
        <top/>
        <bottom/>
      </border>
    </dxf>
    <dxf>
      <font>
        <b/>
        <i val="0"/>
        <color rgb="FFFF0000"/>
      </font>
    </dxf>
    <dxf>
      <font>
        <b/>
        <i val="0"/>
        <color rgb="FFFF0000"/>
      </font>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ouse Set Up - Fixed'!A1"/><Relationship Id="rId1" Type="http://schemas.openxmlformats.org/officeDocument/2006/relationships/hyperlink" Target="#'House Set Up - Adjustable'!A1"/><Relationship Id="rId4" Type="http://schemas.openxmlformats.org/officeDocument/2006/relationships/hyperlink" Target="#Help!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ata Entry'!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ata Entry'!A1"/></Relationships>
</file>

<file path=xl/drawings/_rels/drawing4.xml.rels><?xml version="1.0" encoding="UTF-8" standalone="yes"?>
<Relationships xmlns="http://schemas.openxmlformats.org/package/2006/relationships"><Relationship Id="rId1" Type="http://schemas.openxmlformats.org/officeDocument/2006/relationships/hyperlink" Target="#'Data Entr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2057400</xdr:colOff>
      <xdr:row>21</xdr:row>
      <xdr:rowOff>66675</xdr:rowOff>
    </xdr:to>
    <xdr:sp macro="" textlink="">
      <xdr:nvSpPr>
        <xdr:cNvPr id="3" name="Rounded Rectangle 2">
          <a:hlinkClick xmlns:r="http://schemas.openxmlformats.org/officeDocument/2006/relationships" r:id="rId1"/>
        </xdr:cNvPr>
        <xdr:cNvSpPr/>
      </xdr:nvSpPr>
      <xdr:spPr>
        <a:xfrm>
          <a:off x="609600" y="6267450"/>
          <a:ext cx="20574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Adjustable</a:t>
          </a:r>
          <a:r>
            <a:rPr lang="en-GB" sz="2000" baseline="0">
              <a:solidFill>
                <a:sysClr val="windowText" lastClr="000000"/>
              </a:solidFill>
            </a:rPr>
            <a:t> Pens</a:t>
          </a:r>
          <a:endParaRPr lang="en-GB" sz="2000">
            <a:solidFill>
              <a:sysClr val="windowText" lastClr="000000"/>
            </a:solidFill>
          </a:endParaRPr>
        </a:p>
      </xdr:txBody>
    </xdr:sp>
    <xdr:clientData/>
  </xdr:twoCellAnchor>
  <xdr:twoCellAnchor>
    <xdr:from>
      <xdr:col>2</xdr:col>
      <xdr:colOff>0</xdr:colOff>
      <xdr:row>20</xdr:row>
      <xdr:rowOff>0</xdr:rowOff>
    </xdr:from>
    <xdr:to>
      <xdr:col>4</xdr:col>
      <xdr:colOff>476250</xdr:colOff>
      <xdr:row>21</xdr:row>
      <xdr:rowOff>66675</xdr:rowOff>
    </xdr:to>
    <xdr:sp macro="" textlink="">
      <xdr:nvSpPr>
        <xdr:cNvPr id="4" name="Rounded Rectangle 3">
          <a:hlinkClick xmlns:r="http://schemas.openxmlformats.org/officeDocument/2006/relationships" r:id="rId2"/>
        </xdr:cNvPr>
        <xdr:cNvSpPr/>
      </xdr:nvSpPr>
      <xdr:spPr>
        <a:xfrm>
          <a:off x="3114675" y="6267450"/>
          <a:ext cx="20574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Fixed</a:t>
          </a:r>
          <a:r>
            <a:rPr lang="en-GB" sz="2000" baseline="0">
              <a:solidFill>
                <a:sysClr val="windowText" lastClr="000000"/>
              </a:solidFill>
            </a:rPr>
            <a:t> Pens</a:t>
          </a:r>
          <a:endParaRPr lang="en-GB" sz="2000">
            <a:solidFill>
              <a:sysClr val="windowText" lastClr="000000"/>
            </a:solidFill>
          </a:endParaRPr>
        </a:p>
      </xdr:txBody>
    </xdr:sp>
    <xdr:clientData/>
  </xdr:twoCellAnchor>
  <xdr:twoCellAnchor editAs="oneCell">
    <xdr:from>
      <xdr:col>1</xdr:col>
      <xdr:colOff>904876</xdr:colOff>
      <xdr:row>21</xdr:row>
      <xdr:rowOff>314326</xdr:rowOff>
    </xdr:from>
    <xdr:to>
      <xdr:col>2</xdr:col>
      <xdr:colOff>1028700</xdr:colOff>
      <xdr:row>24</xdr:row>
      <xdr:rowOff>283314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4476" y="7105651"/>
          <a:ext cx="2628899" cy="1073888"/>
        </a:xfrm>
        <a:prstGeom prst="rect">
          <a:avLst/>
        </a:prstGeom>
      </xdr:spPr>
    </xdr:pic>
    <xdr:clientData/>
  </xdr:twoCellAnchor>
  <xdr:oneCellAnchor>
    <xdr:from>
      <xdr:col>4</xdr:col>
      <xdr:colOff>211580</xdr:colOff>
      <xdr:row>23</xdr:row>
      <xdr:rowOff>19051</xdr:rowOff>
    </xdr:from>
    <xdr:ext cx="1977141" cy="374141"/>
    <xdr:sp macro="" textlink="">
      <xdr:nvSpPr>
        <xdr:cNvPr id="6" name="TextBox 5"/>
        <xdr:cNvSpPr txBox="1"/>
      </xdr:nvSpPr>
      <xdr:spPr>
        <a:xfrm>
          <a:off x="4907405" y="7620001"/>
          <a:ext cx="19771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rPr>
            <a:t>www.aviagen.com</a:t>
          </a:r>
        </a:p>
      </xdr:txBody>
    </xdr:sp>
    <xdr:clientData/>
  </xdr:oneCellAnchor>
  <xdr:twoCellAnchor>
    <xdr:from>
      <xdr:col>4</xdr:col>
      <xdr:colOff>937532</xdr:colOff>
      <xdr:row>20</xdr:row>
      <xdr:rowOff>223610</xdr:rowOff>
    </xdr:from>
    <xdr:to>
      <xdr:col>5</xdr:col>
      <xdr:colOff>442232</xdr:colOff>
      <xdr:row>21</xdr:row>
      <xdr:rowOff>68035</xdr:rowOff>
    </xdr:to>
    <xdr:sp macro="" textlink="">
      <xdr:nvSpPr>
        <xdr:cNvPr id="7" name="Rounded Rectangle 6">
          <a:hlinkClick xmlns:r="http://schemas.openxmlformats.org/officeDocument/2006/relationships" r:id="rId4"/>
        </xdr:cNvPr>
        <xdr:cNvSpPr/>
      </xdr:nvSpPr>
      <xdr:spPr>
        <a:xfrm>
          <a:off x="5631996" y="6482896"/>
          <a:ext cx="1228272" cy="366032"/>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Help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619125</xdr:colOff>
      <xdr:row>20</xdr:row>
      <xdr:rowOff>276225</xdr:rowOff>
    </xdr:from>
    <xdr:to>
      <xdr:col>11</xdr:col>
      <xdr:colOff>714375</xdr:colOff>
      <xdr:row>22</xdr:row>
      <xdr:rowOff>276225</xdr:rowOff>
    </xdr:to>
    <xdr:sp macro="" textlink="">
      <xdr:nvSpPr>
        <xdr:cNvPr id="2" name="Rounded Rectangle 1">
          <a:hlinkClick xmlns:r="http://schemas.openxmlformats.org/officeDocument/2006/relationships" r:id="rId1"/>
        </xdr:cNvPr>
        <xdr:cNvSpPr/>
      </xdr:nvSpPr>
      <xdr:spPr>
        <a:xfrm>
          <a:off x="10791825" y="7486650"/>
          <a:ext cx="30099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Data Entry</a:t>
          </a:r>
        </a:p>
      </xdr:txBody>
    </xdr:sp>
    <xdr:clientData/>
  </xdr:twoCellAnchor>
  <xdr:twoCellAnchor editAs="oneCell">
    <xdr:from>
      <xdr:col>1</xdr:col>
      <xdr:colOff>752475</xdr:colOff>
      <xdr:row>20</xdr:row>
      <xdr:rowOff>257175</xdr:rowOff>
    </xdr:from>
    <xdr:to>
      <xdr:col>3</xdr:col>
      <xdr:colOff>1190624</xdr:colOff>
      <xdr:row>24</xdr:row>
      <xdr:rowOff>149963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5850" y="7115175"/>
          <a:ext cx="2628899" cy="1073888"/>
        </a:xfrm>
        <a:prstGeom prst="rect">
          <a:avLst/>
        </a:prstGeom>
      </xdr:spPr>
    </xdr:pic>
    <xdr:clientData/>
  </xdr:twoCellAnchor>
  <xdr:oneCellAnchor>
    <xdr:from>
      <xdr:col>4</xdr:col>
      <xdr:colOff>392554</xdr:colOff>
      <xdr:row>22</xdr:row>
      <xdr:rowOff>200025</xdr:rowOff>
    </xdr:from>
    <xdr:ext cx="1977141" cy="374141"/>
    <xdr:sp macro="" textlink="">
      <xdr:nvSpPr>
        <xdr:cNvPr id="4" name="TextBox 3"/>
        <xdr:cNvSpPr txBox="1"/>
      </xdr:nvSpPr>
      <xdr:spPr>
        <a:xfrm>
          <a:off x="4393054" y="7648575"/>
          <a:ext cx="19771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rPr>
            <a:t>www.aviagen.com</a:t>
          </a:r>
        </a:p>
      </xdr:txBody>
    </xdr:sp>
    <xdr:clientData/>
  </xdr:oneCellAnchor>
  <xdr:twoCellAnchor>
    <xdr:from>
      <xdr:col>11</xdr:col>
      <xdr:colOff>1057275</xdr:colOff>
      <xdr:row>20</xdr:row>
      <xdr:rowOff>266700</xdr:rowOff>
    </xdr:from>
    <xdr:to>
      <xdr:col>13</xdr:col>
      <xdr:colOff>1152525</xdr:colOff>
      <xdr:row>22</xdr:row>
      <xdr:rowOff>266700</xdr:rowOff>
    </xdr:to>
    <xdr:sp macro="[0]!PrintCurrentSheet" textlink="">
      <xdr:nvSpPr>
        <xdr:cNvPr id="6" name="Rounded Rectangle 5"/>
        <xdr:cNvSpPr/>
      </xdr:nvSpPr>
      <xdr:spPr>
        <a:xfrm>
          <a:off x="14144625" y="7477125"/>
          <a:ext cx="30099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Print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714375</xdr:colOff>
      <xdr:row>20</xdr:row>
      <xdr:rowOff>257175</xdr:rowOff>
    </xdr:from>
    <xdr:to>
      <xdr:col>11</xdr:col>
      <xdr:colOff>1104900</xdr:colOff>
      <xdr:row>22</xdr:row>
      <xdr:rowOff>257175</xdr:rowOff>
    </xdr:to>
    <xdr:sp macro="" textlink="">
      <xdr:nvSpPr>
        <xdr:cNvPr id="2" name="Rounded Rectangle 1">
          <a:hlinkClick xmlns:r="http://schemas.openxmlformats.org/officeDocument/2006/relationships" r:id="rId1"/>
        </xdr:cNvPr>
        <xdr:cNvSpPr/>
      </xdr:nvSpPr>
      <xdr:spPr>
        <a:xfrm>
          <a:off x="10601325" y="7534275"/>
          <a:ext cx="3019425"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Data Entry</a:t>
          </a:r>
        </a:p>
      </xdr:txBody>
    </xdr:sp>
    <xdr:clientData/>
  </xdr:twoCellAnchor>
  <xdr:twoCellAnchor editAs="oneCell">
    <xdr:from>
      <xdr:col>1</xdr:col>
      <xdr:colOff>762000</xdr:colOff>
      <xdr:row>20</xdr:row>
      <xdr:rowOff>161925</xdr:rowOff>
    </xdr:from>
    <xdr:to>
      <xdr:col>4</xdr:col>
      <xdr:colOff>28574</xdr:colOff>
      <xdr:row>24</xdr:row>
      <xdr:rowOff>54713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5375" y="7115175"/>
          <a:ext cx="2628899" cy="1073888"/>
        </a:xfrm>
        <a:prstGeom prst="rect">
          <a:avLst/>
        </a:prstGeom>
      </xdr:spPr>
    </xdr:pic>
    <xdr:clientData/>
  </xdr:twoCellAnchor>
  <xdr:oneCellAnchor>
    <xdr:from>
      <xdr:col>4</xdr:col>
      <xdr:colOff>402079</xdr:colOff>
      <xdr:row>22</xdr:row>
      <xdr:rowOff>104775</xdr:rowOff>
    </xdr:from>
    <xdr:ext cx="1977141" cy="374141"/>
    <xdr:sp macro="" textlink="">
      <xdr:nvSpPr>
        <xdr:cNvPr id="4" name="TextBox 3"/>
        <xdr:cNvSpPr txBox="1"/>
      </xdr:nvSpPr>
      <xdr:spPr>
        <a:xfrm>
          <a:off x="4402579" y="7648575"/>
          <a:ext cx="19771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rPr>
            <a:t>www.aviagen.com</a:t>
          </a:r>
        </a:p>
      </xdr:txBody>
    </xdr:sp>
    <xdr:clientData/>
  </xdr:oneCellAnchor>
  <xdr:twoCellAnchor>
    <xdr:from>
      <xdr:col>12</xdr:col>
      <xdr:colOff>219075</xdr:colOff>
      <xdr:row>20</xdr:row>
      <xdr:rowOff>257175</xdr:rowOff>
    </xdr:from>
    <xdr:to>
      <xdr:col>14</xdr:col>
      <xdr:colOff>600075</xdr:colOff>
      <xdr:row>22</xdr:row>
      <xdr:rowOff>257175</xdr:rowOff>
    </xdr:to>
    <xdr:sp macro="[0]!PrintCurrentSheet" textlink="">
      <xdr:nvSpPr>
        <xdr:cNvPr id="5" name="Rounded Rectangle 4"/>
        <xdr:cNvSpPr/>
      </xdr:nvSpPr>
      <xdr:spPr>
        <a:xfrm>
          <a:off x="14049375" y="7534275"/>
          <a:ext cx="30099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Print Sheet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11934825</xdr:colOff>
      <xdr:row>0</xdr:row>
      <xdr:rowOff>161925</xdr:rowOff>
    </xdr:from>
    <xdr:to>
      <xdr:col>0</xdr:col>
      <xdr:colOff>13992225</xdr:colOff>
      <xdr:row>0</xdr:row>
      <xdr:rowOff>750207</xdr:rowOff>
    </xdr:to>
    <xdr:sp macro="" textlink="">
      <xdr:nvSpPr>
        <xdr:cNvPr id="2" name="Rounded Rectangle 1">
          <a:hlinkClick xmlns:r="http://schemas.openxmlformats.org/officeDocument/2006/relationships" r:id="rId1"/>
        </xdr:cNvPr>
        <xdr:cNvSpPr/>
      </xdr:nvSpPr>
      <xdr:spPr>
        <a:xfrm>
          <a:off x="11934825" y="161925"/>
          <a:ext cx="2057400" cy="588282"/>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Data</a:t>
          </a:r>
          <a:r>
            <a:rPr lang="en-GB" sz="2000" baseline="0">
              <a:solidFill>
                <a:sysClr val="windowText" lastClr="000000"/>
              </a:solidFill>
            </a:rPr>
            <a:t> Entry</a:t>
          </a:r>
          <a:endParaRPr lang="en-GB" sz="2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L22"/>
  <sheetViews>
    <sheetView tabSelected="1" zoomScale="94" zoomScaleNormal="94" workbookViewId="0">
      <selection activeCell="C4" sqref="C4"/>
    </sheetView>
  </sheetViews>
  <sheetFormatPr defaultRowHeight="23.25" x14ac:dyDescent="0.35"/>
  <cols>
    <col min="1" max="1" width="9.140625" style="1"/>
    <col min="2" max="2" width="37.5703125" style="1" customWidth="1"/>
    <col min="3" max="3" width="19.28515625" style="1" customWidth="1"/>
    <col min="4" max="4" width="4.42578125" style="1" customWidth="1"/>
    <col min="5" max="5" width="25.85546875" style="1" customWidth="1"/>
    <col min="6" max="6" width="11.5703125" style="1" customWidth="1"/>
    <col min="7" max="7" width="34.140625" style="1" customWidth="1"/>
    <col min="8" max="8" width="26.28515625" style="1" customWidth="1"/>
    <col min="9" max="9" width="4.85546875" style="1" customWidth="1"/>
    <col min="10" max="10" width="25.42578125" style="1" customWidth="1"/>
    <col min="11" max="11" width="23" style="4" customWidth="1"/>
    <col min="12" max="12" width="26.28515625" style="1" customWidth="1"/>
    <col min="13" max="16384" width="9.140625" style="1"/>
  </cols>
  <sheetData>
    <row r="2" spans="2:12" ht="36" x14ac:dyDescent="0.55000000000000004">
      <c r="B2" s="3" t="s">
        <v>0</v>
      </c>
      <c r="G2" s="3" t="s">
        <v>8</v>
      </c>
      <c r="L2" s="3" t="s">
        <v>76</v>
      </c>
    </row>
    <row r="3" spans="2:12" ht="24" thickBot="1" x14ac:dyDescent="0.4"/>
    <row r="4" spans="2:12" ht="27" thickBot="1" x14ac:dyDescent="0.4">
      <c r="B4" s="2" t="s">
        <v>2</v>
      </c>
      <c r="C4" s="35"/>
      <c r="E4" s="5" t="s">
        <v>7</v>
      </c>
      <c r="G4" s="2" t="s">
        <v>69</v>
      </c>
      <c r="H4" s="35"/>
      <c r="J4" s="55" t="s">
        <v>23</v>
      </c>
      <c r="L4" s="41" t="s">
        <v>74</v>
      </c>
    </row>
    <row r="5" spans="2:12" ht="24" thickBot="1" x14ac:dyDescent="0.4">
      <c r="B5" s="2" t="s">
        <v>3</v>
      </c>
      <c r="C5" s="36"/>
      <c r="E5" s="4" t="str">
        <f>IF(C4="","",C4*C5)</f>
        <v/>
      </c>
      <c r="G5" s="2" t="s">
        <v>17</v>
      </c>
      <c r="H5" s="36"/>
      <c r="J5" s="55"/>
      <c r="L5" s="47"/>
    </row>
    <row r="6" spans="2:12" x14ac:dyDescent="0.35">
      <c r="B6" s="2" t="s">
        <v>1</v>
      </c>
      <c r="C6" s="36"/>
      <c r="E6" s="21" t="str">
        <f>IF(H14="3-way Grade",IF(C6&lt;3,"Error 3 pens required",""),"")</f>
        <v/>
      </c>
      <c r="G6" s="2" t="s">
        <v>14</v>
      </c>
      <c r="H6" s="36"/>
      <c r="J6" s="15" t="str">
        <f>IF(H6="","",H6/E5)</f>
        <v/>
      </c>
    </row>
    <row r="7" spans="2:12" ht="24" thickBot="1" x14ac:dyDescent="0.4">
      <c r="B7" s="2" t="s">
        <v>4</v>
      </c>
      <c r="C7" s="37"/>
      <c r="G7" s="2" t="s">
        <v>15</v>
      </c>
      <c r="H7" s="36"/>
      <c r="J7" s="5" t="s">
        <v>24</v>
      </c>
      <c r="L7" s="41" t="s">
        <v>73</v>
      </c>
    </row>
    <row r="8" spans="2:12" ht="24" thickBot="1" x14ac:dyDescent="0.4">
      <c r="G8" s="2" t="s">
        <v>16</v>
      </c>
      <c r="H8" s="37"/>
      <c r="J8" s="16" t="str">
        <f>IF(H4="","",IF(H4="Female","4 - 7 birds/m2","3 - 4 birds/m2"))</f>
        <v/>
      </c>
      <c r="L8" s="47"/>
    </row>
    <row r="9" spans="2:12" ht="24" thickBot="1" x14ac:dyDescent="0.4">
      <c r="E9" s="5" t="str">
        <f>IF(C7="Fixed","Pen Area (m2)","")</f>
        <v/>
      </c>
      <c r="G9" s="2"/>
      <c r="H9" s="44"/>
    </row>
    <row r="10" spans="2:12" ht="24" thickBot="1" x14ac:dyDescent="0.4">
      <c r="B10" s="2" t="str">
        <f>IF(C$7="Fixed","Pen 1 Length (m)","")</f>
        <v/>
      </c>
      <c r="C10" s="35"/>
      <c r="E10" s="4" t="str">
        <f>IF(B10="","",C10*C$5)</f>
        <v/>
      </c>
      <c r="G10" s="46" t="s">
        <v>72</v>
      </c>
      <c r="H10" s="22"/>
    </row>
    <row r="11" spans="2:12" ht="24" thickBot="1" x14ac:dyDescent="0.4">
      <c r="B11" s="2" t="str">
        <f>IF(C$7="Fixed","Pen 2 Length (m)","")</f>
        <v/>
      </c>
      <c r="C11" s="36"/>
      <c r="E11" s="4" t="str">
        <f t="shared" ref="E11:E17" si="0">IF(B11="","",C11*C$5)</f>
        <v/>
      </c>
      <c r="G11" s="2" t="s">
        <v>61</v>
      </c>
      <c r="H11" s="47"/>
    </row>
    <row r="12" spans="2:12" x14ac:dyDescent="0.35">
      <c r="B12" s="2" t="str">
        <f>IF(C$7="Fixed",IF(C$6&gt;2,"Pen 3 Length (m)",""),"")</f>
        <v/>
      </c>
      <c r="C12" s="36"/>
      <c r="E12" s="4" t="str">
        <f t="shared" si="0"/>
        <v/>
      </c>
      <c r="G12" s="2"/>
      <c r="H12" s="15"/>
    </row>
    <row r="13" spans="2:12" x14ac:dyDescent="0.35">
      <c r="B13" s="2" t="str">
        <f>IF(C$7="Fixed",IF(C$6&gt;3,"Pen 4 Length (m)",""),"")</f>
        <v/>
      </c>
      <c r="C13" s="36"/>
      <c r="E13" s="4" t="str">
        <f t="shared" si="0"/>
        <v/>
      </c>
    </row>
    <row r="14" spans="2:12" x14ac:dyDescent="0.35">
      <c r="B14" s="2" t="str">
        <f>IF(C$7="Fixed",IF(C$6&gt;4,"Pen 5 Length (m)",""),"")</f>
        <v/>
      </c>
      <c r="C14" s="36"/>
      <c r="E14" s="4" t="str">
        <f t="shared" si="0"/>
        <v/>
      </c>
      <c r="G14" s="2" t="s">
        <v>19</v>
      </c>
      <c r="H14" s="4" t="str">
        <f>IFERROR(IF(H11="",(IF('statistical calculations'!C4&lt;10,"No Grade",IF('statistical calculations'!C4&lt;12,"2-way Grade",IF('statistical calculations'!C4&gt;17,"Check Data","3-way Grade")))),(IF(H11&gt;80,"No Grade",(IF(H11&lt;65,"3-way Grade","2-way Grade"))))),"")</f>
        <v/>
      </c>
    </row>
    <row r="15" spans="2:12" ht="26.25" customHeight="1" x14ac:dyDescent="0.35">
      <c r="B15" s="2" t="str">
        <f>IF(C$7="Fixed",IF(C$6&gt;5,"Pen 6 Length (m)",""),"")</f>
        <v/>
      </c>
      <c r="C15" s="36"/>
      <c r="E15" s="4" t="str">
        <f t="shared" si="0"/>
        <v/>
      </c>
      <c r="G15" s="2"/>
      <c r="H15" s="4"/>
    </row>
    <row r="16" spans="2:12" ht="26.25" customHeight="1" x14ac:dyDescent="0.35">
      <c r="B16" s="2" t="str">
        <f>IF(C$7="Fixed",IF(C$6&gt;6,"Pen 7 Length (m)",""),"")</f>
        <v/>
      </c>
      <c r="C16" s="36"/>
      <c r="E16" s="4" t="str">
        <f t="shared" si="0"/>
        <v/>
      </c>
      <c r="G16" s="55" t="s">
        <v>25</v>
      </c>
      <c r="H16" s="56" t="s">
        <v>26</v>
      </c>
      <c r="J16" s="57" t="s">
        <v>14</v>
      </c>
      <c r="K16" s="53" t="s">
        <v>28</v>
      </c>
    </row>
    <row r="17" spans="2:11" ht="24" thickBot="1" x14ac:dyDescent="0.4">
      <c r="B17" s="2" t="str">
        <f>IF(C$7="Fixed",IF(C$6&gt;7,"Pen 8 Length (m)",""),"")</f>
        <v/>
      </c>
      <c r="C17" s="37"/>
      <c r="E17" s="4" t="str">
        <f t="shared" si="0"/>
        <v/>
      </c>
      <c r="G17" s="55"/>
      <c r="H17" s="56"/>
      <c r="J17" s="57"/>
      <c r="K17" s="53"/>
    </row>
    <row r="18" spans="2:11" x14ac:dyDescent="0.35">
      <c r="G18" s="7" t="s">
        <v>20</v>
      </c>
      <c r="H18" s="4" t="str">
        <f>IFERROR(IF($H$11="",(IF($H$8&lt;10,"",IF($H$8&lt;12,20,IF($H$8&lt;14,24,29)))),(IF($H$11&gt;80,"",IF($H$11&lt;65,(100-$H$11)/2,(100-$H$11)/2)))),"")</f>
        <v/>
      </c>
      <c r="J18" s="4" t="str">
        <f>IF(H18="","",$H$6*(H18/100))</f>
        <v/>
      </c>
      <c r="K18" s="17" t="str">
        <f>IF(H18="","",J18/7)</f>
        <v/>
      </c>
    </row>
    <row r="19" spans="2:11" x14ac:dyDescent="0.35">
      <c r="B19" s="2" t="str">
        <f>IF(C$7="Fixed","Total","")</f>
        <v/>
      </c>
      <c r="C19" s="4" t="str">
        <f>IF(C10="","",SUM(C10:C17))</f>
        <v/>
      </c>
      <c r="E19" s="4" t="str">
        <f>IF(E10="","",SUM(E10:E17))</f>
        <v/>
      </c>
      <c r="G19" s="7" t="s">
        <v>21</v>
      </c>
      <c r="H19" s="4" t="str">
        <f>IFERROR(IF($H$11="",(IF($H$8&lt;10,"",IF($H$8&lt;12,80,IF($H$8&lt;14,70,58)))),(IF($H$11&gt;80,"",IF($H$11&lt;65,$H$11,($H$11+((100-H11)/2)))))),"")</f>
        <v/>
      </c>
      <c r="J19" s="4" t="str">
        <f>IF(H19="","",$H$6*(H19/100))</f>
        <v/>
      </c>
      <c r="K19" s="17" t="str">
        <f>IF(H19="","",J19/7)</f>
        <v/>
      </c>
    </row>
    <row r="20" spans="2:11" x14ac:dyDescent="0.35">
      <c r="G20" s="7" t="s">
        <v>22</v>
      </c>
      <c r="H20" s="4" t="str">
        <f>IFERROR(IF($H$11="",(IF($H$8&lt;10,"",IF($H$8&lt;12,"",IF($H$8&lt;14,6,13)))),(IF($H$11&gt;80,"",IF($H$11&lt;65,(100-$H$11)/2,"")))),"")</f>
        <v/>
      </c>
      <c r="J20" s="4" t="str">
        <f>IF(H20="","",$H$6*(H20/100))</f>
        <v/>
      </c>
      <c r="K20" s="17" t="str">
        <f>IF(H20="","",J20/7)</f>
        <v/>
      </c>
    </row>
    <row r="21" spans="2:11" ht="41.25" customHeight="1" x14ac:dyDescent="0.35"/>
    <row r="22" spans="2:11" ht="40.5" customHeight="1" x14ac:dyDescent="0.35">
      <c r="G22" s="54" t="s">
        <v>29</v>
      </c>
      <c r="H22" s="54"/>
      <c r="I22" s="54"/>
      <c r="J22" s="54"/>
      <c r="K22" s="54"/>
    </row>
  </sheetData>
  <sheetProtection password="EF62" sheet="1" objects="1" scenarios="1" selectLockedCells="1"/>
  <mergeCells count="6">
    <mergeCell ref="K16:K17"/>
    <mergeCell ref="G22:K22"/>
    <mergeCell ref="J4:J5"/>
    <mergeCell ref="G16:G17"/>
    <mergeCell ref="H16:H17"/>
    <mergeCell ref="J16:J17"/>
  </mergeCells>
  <conditionalFormatting sqref="C10">
    <cfRule type="expression" dxfId="22" priority="13">
      <formula>$B$10=""</formula>
    </cfRule>
  </conditionalFormatting>
  <conditionalFormatting sqref="C11">
    <cfRule type="expression" dxfId="21" priority="11">
      <formula>$B$11=""</formula>
    </cfRule>
  </conditionalFormatting>
  <conditionalFormatting sqref="C12">
    <cfRule type="expression" dxfId="20" priority="10">
      <formula>B12=""</formula>
    </cfRule>
  </conditionalFormatting>
  <conditionalFormatting sqref="C13">
    <cfRule type="expression" dxfId="19" priority="9">
      <formula>B13=""</formula>
    </cfRule>
  </conditionalFormatting>
  <conditionalFormatting sqref="C14">
    <cfRule type="expression" dxfId="18" priority="8">
      <formula>B14=""</formula>
    </cfRule>
  </conditionalFormatting>
  <conditionalFormatting sqref="C15">
    <cfRule type="expression" dxfId="17" priority="7">
      <formula>B15=""</formula>
    </cfRule>
  </conditionalFormatting>
  <conditionalFormatting sqref="C16">
    <cfRule type="expression" dxfId="16" priority="6">
      <formula>B16=""</formula>
    </cfRule>
  </conditionalFormatting>
  <conditionalFormatting sqref="C17">
    <cfRule type="expression" dxfId="15" priority="5">
      <formula>B17=""</formula>
    </cfRule>
  </conditionalFormatting>
  <conditionalFormatting sqref="E19">
    <cfRule type="cellIs" dxfId="14" priority="4" operator="notEqual">
      <formula>$E$5</formula>
    </cfRule>
  </conditionalFormatting>
  <conditionalFormatting sqref="C19">
    <cfRule type="cellIs" dxfId="13" priority="3" operator="notEqual">
      <formula>$C$4</formula>
    </cfRule>
  </conditionalFormatting>
  <conditionalFormatting sqref="H11">
    <cfRule type="expression" dxfId="12" priority="2">
      <formula>$H$8&lt;&gt;""</formula>
    </cfRule>
  </conditionalFormatting>
  <conditionalFormatting sqref="H8">
    <cfRule type="expression" dxfId="11" priority="1">
      <formula>$H$11&lt;&gt;""</formula>
    </cfRule>
  </conditionalFormatting>
  <dataValidations count="3">
    <dataValidation type="custom" showInputMessage="1" showErrorMessage="1" sqref="C10:C17">
      <formula1>B10&lt;&gt;""</formula1>
    </dataValidation>
    <dataValidation type="custom" errorStyle="warning" showInputMessage="1" showErrorMessage="1" error="Uniformity value already entered" sqref="H8">
      <formula1>IF(H11&gt;0,FALSE,TRUE)</formula1>
    </dataValidation>
    <dataValidation type="custom" errorStyle="warning" showInputMessage="1" showErrorMessage="1" error="CV% Value already entered" sqref="H11">
      <formula1>IF(H8&gt;0,FALSE,TRUE)</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'Pick list'!$C$2:$C$8</xm:f>
          </x14:formula1>
          <xm:sqref>C6</xm:sqref>
        </x14:dataValidation>
        <x14:dataValidation type="list" allowBlank="1" showInputMessage="1" showErrorMessage="1">
          <x14:formula1>
            <xm:f>'Pick list'!$B$2:$B$3</xm:f>
          </x14:formula1>
          <xm:sqref>C7</xm:sqref>
        </x14:dataValidation>
        <x14:dataValidation type="list" allowBlank="1" showInputMessage="1" showErrorMessage="1">
          <x14:formula1>
            <xm:f>'Pick list'!$D$2:$D$7</xm:f>
          </x14:formula1>
          <xm:sqref>H4</xm:sqref>
        </x14:dataValidation>
        <x14:dataValidation type="list" allowBlank="1" showInputMessage="1" showErrorMessage="1">
          <x14:formula1>
            <xm:f>'Pick list'!$H$2:$H$3</xm:f>
          </x14:formula1>
          <xm:sqref>L5</xm:sqref>
        </x14:dataValidation>
        <x14:dataValidation type="list" allowBlank="1" showInputMessage="1" showErrorMessage="1">
          <x14:formula1>
            <xm:f>'Pick list'!$J$2:$J$4</xm:f>
          </x14:formula1>
          <xm:sqref>L8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N19"/>
  <sheetViews>
    <sheetView zoomScale="88" zoomScaleNormal="88" workbookViewId="0"/>
  </sheetViews>
  <sheetFormatPr defaultRowHeight="23.25" x14ac:dyDescent="0.35"/>
  <cols>
    <col min="1" max="1" width="5" style="1" customWidth="1"/>
    <col min="2" max="2" width="15.42578125" style="1" customWidth="1"/>
    <col min="3" max="3" width="17.42578125" style="1" customWidth="1"/>
    <col min="4" max="4" width="19.42578125" style="1" customWidth="1"/>
    <col min="5" max="5" width="21.140625" style="1" customWidth="1"/>
    <col min="6" max="6" width="17.7109375" style="1" customWidth="1"/>
    <col min="7" max="7" width="17.140625" style="1" customWidth="1"/>
    <col min="8" max="8" width="17.42578125" style="1" customWidth="1"/>
    <col min="9" max="13" width="21.85546875" style="1" customWidth="1"/>
    <col min="14" max="14" width="18.7109375" style="1" customWidth="1"/>
    <col min="15" max="16384" width="9.140625" style="1"/>
  </cols>
  <sheetData>
    <row r="2" spans="2:14" x14ac:dyDescent="0.35">
      <c r="B2" s="20" t="s">
        <v>27</v>
      </c>
      <c r="C2" s="5">
        <f>'Data Entry'!C7</f>
        <v>0</v>
      </c>
      <c r="E2" s="2" t="s">
        <v>46</v>
      </c>
      <c r="F2" s="1" t="str">
        <f>'Data Entry'!H14</f>
        <v/>
      </c>
    </row>
    <row r="3" spans="2:14" x14ac:dyDescent="0.35">
      <c r="B3" s="7"/>
      <c r="C3" s="5"/>
      <c r="D3" s="2"/>
      <c r="E3" s="2"/>
      <c r="F3" s="2"/>
      <c r="G3" s="2"/>
      <c r="H3" s="2"/>
      <c r="I3" s="60" t="s">
        <v>34</v>
      </c>
      <c r="J3" s="60"/>
      <c r="K3" s="60"/>
      <c r="L3" s="59" t="s">
        <v>35</v>
      </c>
      <c r="M3" s="59"/>
      <c r="N3" s="59"/>
    </row>
    <row r="4" spans="2:14" ht="99.75" customHeight="1" thickBot="1" x14ac:dyDescent="0.4">
      <c r="C4" s="25" t="s">
        <v>30</v>
      </c>
      <c r="D4" s="26" t="s">
        <v>36</v>
      </c>
      <c r="E4" s="25" t="s">
        <v>49</v>
      </c>
      <c r="F4" s="26" t="s">
        <v>31</v>
      </c>
      <c r="G4" s="25" t="s">
        <v>52</v>
      </c>
      <c r="H4" s="26" t="s">
        <v>37</v>
      </c>
      <c r="I4" s="26" t="str">
        <f>CONCATENATE("Track length (m) required at ",'Data Entry'!H5,"w ","at ",'Pick list'!C18,"cm/b")</f>
        <v>Track length (m) required at w at 5cm/b</v>
      </c>
      <c r="J4" s="26" t="str">
        <f>CONCATENATE("Track length (m) required at 20w at ",'Pick list'!C27,"cm/b")</f>
        <v>Track length (m) required at 20w at 15cm/b</v>
      </c>
      <c r="K4" s="27" t="s">
        <v>38</v>
      </c>
      <c r="L4" s="28" t="s">
        <v>39</v>
      </c>
      <c r="M4" s="27" t="s">
        <v>40</v>
      </c>
      <c r="N4" s="28" t="s">
        <v>41</v>
      </c>
    </row>
    <row r="5" spans="2:14" x14ac:dyDescent="0.35">
      <c r="B5" s="4" t="str">
        <f>IF(C$2="Adjustable","Pen 1","")</f>
        <v/>
      </c>
      <c r="C5" s="29" t="str">
        <f>IF(B5="","",IF($F$2="2-way Grade",VLOOKUP('Data Entry'!C$6,'Pick list'!$K$19:$T$25,3),VLOOKUP('Data Entry'!C$6,'Pick list'!$K$10:$U$16,3)))</f>
        <v/>
      </c>
      <c r="D5" s="23" t="str">
        <f>IF($B5="","",(VLOOKUP($C5,'Pick list'!$B$11:$F$13,5))/(COUNTIF('House Set Up - Adjustable'!$C$5:$C$12,$C5)))</f>
        <v/>
      </c>
      <c r="E5" s="15" t="str">
        <f>IF(B5="","",D5/'Data Entry'!$C$5)</f>
        <v/>
      </c>
      <c r="F5" s="23" t="str">
        <f>IF($B5="","",(VLOOKUP($C5,'Pick list'!$B$11:$F$13,2))/(COUNTIF('House Set Up - Adjustable'!$C$5:$C$12,$C5)))</f>
        <v/>
      </c>
      <c r="G5" s="15" t="str">
        <f>IF(B5="","",(F5/'Data Entry'!$H$6)*100)</f>
        <v/>
      </c>
      <c r="H5" s="32" t="str">
        <f t="shared" ref="H5:H12" si="0">IF(B5="","",F5/D5)</f>
        <v/>
      </c>
      <c r="I5" s="17" t="str">
        <f>IF('Data Entry'!$L$5="Track",IF($F5="","",(ROUNDUP($F5*('Pick list'!$C$18/200),0))),"")</f>
        <v/>
      </c>
      <c r="J5" s="17" t="str">
        <f>IF('Data Entry'!$L$5="Track",IF($F5="","",(ROUNDUP($F5*('Pick list'!$C$27/200),0))),"")</f>
        <v/>
      </c>
      <c r="K5" s="24" t="str">
        <f>IF('Data Entry'!$L$5="Pans",IF(F5="","",(ROUNDUP((F5/'Pick list'!$C$19),0))),"")</f>
        <v/>
      </c>
      <c r="L5" s="4" t="str">
        <f>IF('Data Entry'!$L$8="Nipples",IF(F5="","",(ROUNDUP((F5/'Pick list'!$C$21),0))),"")</f>
        <v/>
      </c>
      <c r="M5" s="24" t="str">
        <f>IF('Data Entry'!$L$8="Cups",IF(F5="","",(ROUNDUP((F5/'Pick list'!$C$22),0))),"")</f>
        <v/>
      </c>
      <c r="N5" s="4" t="str">
        <f>IF('Data Entry'!$L$8="Bells",IF(F5="","",(ROUNDUP((F5/'Pick list'!$C$20),0))),"")</f>
        <v/>
      </c>
    </row>
    <row r="6" spans="2:14" x14ac:dyDescent="0.35">
      <c r="B6" s="4" t="str">
        <f>IF(C$2="Adjustable","Pen 2","")</f>
        <v/>
      </c>
      <c r="C6" s="29" t="str">
        <f>IF(B6="","",IF($F$2="2-way Grade",VLOOKUP('Data Entry'!C$6,'Pick list'!$K$19:$T$25,4),VLOOKUP('Data Entry'!C$6,'Pick list'!$K$10:$U$16,4)))</f>
        <v/>
      </c>
      <c r="D6" s="23" t="str">
        <f>IF($B6="","",(VLOOKUP($C6,'Pick list'!$B$11:$F$13,5))/(COUNTIF('House Set Up - Adjustable'!$C$5:$C$12,$C6)))</f>
        <v/>
      </c>
      <c r="E6" s="15" t="str">
        <f>IF(B6="","",D6/'Data Entry'!$C$5)</f>
        <v/>
      </c>
      <c r="F6" s="23" t="str">
        <f>IF($B6="","",(VLOOKUP($C6,'Pick list'!$B$11:$F$13,2))/(COUNTIF('House Set Up - Adjustable'!$C$5:$C$12,$C6)))</f>
        <v/>
      </c>
      <c r="G6" s="15" t="str">
        <f>IF(B6="","",(F6/'Data Entry'!$H$6)*100)</f>
        <v/>
      </c>
      <c r="H6" s="32" t="str">
        <f t="shared" si="0"/>
        <v/>
      </c>
      <c r="I6" s="17" t="str">
        <f>IF('Data Entry'!$L$5="Track",IF($F6="","",(ROUNDUP($F6*('Pick list'!$C$18/200),0))),"")</f>
        <v/>
      </c>
      <c r="J6" s="17" t="str">
        <f>IF('Data Entry'!$L$5="Track",IF($F6="","",(ROUNDUP($F6*('Pick list'!$C$27/200),0))),"")</f>
        <v/>
      </c>
      <c r="K6" s="24" t="str">
        <f>IF('Data Entry'!$L$5="Pans",IF(F6="","",(ROUNDUP((F6/'Pick list'!$C$19),0))),"")</f>
        <v/>
      </c>
      <c r="L6" s="4" t="str">
        <f>IF('Data Entry'!$L$8="Nipples",IF(F6="","",(ROUNDUP((F6/'Pick list'!$C$21),0))),"")</f>
        <v/>
      </c>
      <c r="M6" s="24" t="str">
        <f>IF('Data Entry'!$L$8="Cups",IF(F6="","",(ROUNDUP((F6/'Pick list'!$C$22),0))),"")</f>
        <v/>
      </c>
      <c r="N6" s="4" t="str">
        <f>IF('Data Entry'!$L$8="Bells",IF(F6="","",(ROUNDUP((F6/'Pick list'!$C$20),0))),"")</f>
        <v/>
      </c>
    </row>
    <row r="7" spans="2:14" x14ac:dyDescent="0.35">
      <c r="B7" s="4" t="str">
        <f>IF(C$2="Adjustable",IF('Data Entry'!C$6&gt;2,"Pen 3",""),"")</f>
        <v/>
      </c>
      <c r="C7" s="29" t="str">
        <f>IF(B7="","",IF($F$2="2-way Grade",VLOOKUP('Data Entry'!C$6,'Pick list'!$K$19:$T$25,5),VLOOKUP('Data Entry'!C$6,'Pick list'!$K$10:$U$16,5)))</f>
        <v/>
      </c>
      <c r="D7" s="23" t="str">
        <f>IF($B7="","",(VLOOKUP($C7,'Pick list'!$B$11:$F$13,5))/(COUNTIF('House Set Up - Adjustable'!$C$5:$C$12,$C7)))</f>
        <v/>
      </c>
      <c r="E7" s="15" t="str">
        <f>IF(B7="","",D7/'Data Entry'!$C$5)</f>
        <v/>
      </c>
      <c r="F7" s="23" t="str">
        <f>IF($B7="","",(VLOOKUP($C7,'Pick list'!$B$11:$F$13,2))/(COUNTIF('House Set Up - Adjustable'!$C$5:$C$12,$C7)))</f>
        <v/>
      </c>
      <c r="G7" s="15" t="str">
        <f>IF(B7="","",(F7/'Data Entry'!$H$6)*100)</f>
        <v/>
      </c>
      <c r="H7" s="32" t="str">
        <f t="shared" si="0"/>
        <v/>
      </c>
      <c r="I7" s="17" t="str">
        <f>IF('Data Entry'!$L$5="Track",IF($F7="","",(ROUNDUP($F7*('Pick list'!$C$18/200),0))),"")</f>
        <v/>
      </c>
      <c r="J7" s="17" t="str">
        <f>IF('Data Entry'!$L$5="Track",IF($F7="","",(ROUNDUP($F7*('Pick list'!$C$27/200),0))),"")</f>
        <v/>
      </c>
      <c r="K7" s="24" t="str">
        <f>IF('Data Entry'!$L$5="Pans",IF(F7="","",(ROUNDUP((F7/'Pick list'!$C$19),0))),"")</f>
        <v/>
      </c>
      <c r="L7" s="4" t="str">
        <f>IF('Data Entry'!$L$8="Nipples",IF(F7="","",(ROUNDUP((F7/'Pick list'!$C$21),0))),"")</f>
        <v/>
      </c>
      <c r="M7" s="24" t="str">
        <f>IF('Data Entry'!$L$8="Cups",IF(F7="","",(ROUNDUP((F7/'Pick list'!$C$22),0))),"")</f>
        <v/>
      </c>
      <c r="N7" s="4" t="str">
        <f>IF('Data Entry'!$L$8="Bells",IF(F7="","",(ROUNDUP((F7/'Pick list'!$C$20),0))),"")</f>
        <v/>
      </c>
    </row>
    <row r="8" spans="2:14" x14ac:dyDescent="0.35">
      <c r="B8" s="4" t="str">
        <f>IF(C$2="Adjustable",IF('Data Entry'!C$6&gt;3,"Pen 4",""),"")</f>
        <v/>
      </c>
      <c r="C8" s="29" t="str">
        <f>IF(B8="","",IF($F$2="2-way Grade",VLOOKUP('Data Entry'!C$6,'Pick list'!$K$19:$T$25,6),VLOOKUP('Data Entry'!C$6,'Pick list'!$K$10:$U$16,6)))</f>
        <v/>
      </c>
      <c r="D8" s="23" t="str">
        <f>IF($B8="","",(VLOOKUP($C8,'Pick list'!$B$11:$F$13,5))/(COUNTIF('House Set Up - Adjustable'!$C$5:$C$12,$C8)))</f>
        <v/>
      </c>
      <c r="E8" s="15" t="str">
        <f>IF(B8="","",D8/'Data Entry'!$C$5)</f>
        <v/>
      </c>
      <c r="F8" s="23" t="str">
        <f>IF($B8="","",(VLOOKUP($C8,'Pick list'!$B$11:$F$13,2))/(COUNTIF('House Set Up - Adjustable'!$C$5:$C$12,$C8)))</f>
        <v/>
      </c>
      <c r="G8" s="15" t="str">
        <f>IF(B8="","",(F8/'Data Entry'!$H$6)*100)</f>
        <v/>
      </c>
      <c r="H8" s="32" t="str">
        <f t="shared" si="0"/>
        <v/>
      </c>
      <c r="I8" s="17" t="str">
        <f>IF('Data Entry'!$L$5="Track",IF($F8="","",(ROUNDUP($F8*('Pick list'!$C$18/200),0))),"")</f>
        <v/>
      </c>
      <c r="J8" s="17" t="str">
        <f>IF('Data Entry'!$L$5="Track",IF($F8="","",(ROUNDUP($F8*('Pick list'!$C$27/200),0))),"")</f>
        <v/>
      </c>
      <c r="K8" s="24" t="str">
        <f>IF('Data Entry'!$L$5="Pans",IF(F8="","",(ROUNDUP((F8/'Pick list'!$C$19),0))),"")</f>
        <v/>
      </c>
      <c r="L8" s="4" t="str">
        <f>IF('Data Entry'!$L$8="Nipples",IF(F8="","",(ROUNDUP((F8/'Pick list'!$C$21),0))),"")</f>
        <v/>
      </c>
      <c r="M8" s="24" t="str">
        <f>IF('Data Entry'!$L$8="Cups",IF(F8="","",(ROUNDUP((F8/'Pick list'!$C$22),0))),"")</f>
        <v/>
      </c>
      <c r="N8" s="4" t="str">
        <f>IF('Data Entry'!$L$8="Bells",IF(F8="","",(ROUNDUP((F8/'Pick list'!$C$20),0))),"")</f>
        <v/>
      </c>
    </row>
    <row r="9" spans="2:14" x14ac:dyDescent="0.35">
      <c r="B9" s="4" t="str">
        <f>IF(C$2="Adjustable",IF('Data Entry'!C$6&gt;4,"Pen 5",""),"")</f>
        <v/>
      </c>
      <c r="C9" s="29" t="str">
        <f>IF(B9="","",IF($F$2="2-way Grade",VLOOKUP('Data Entry'!C$6,'Pick list'!$K$19:$T$25,7),VLOOKUP('Data Entry'!C$6,'Pick list'!$K$10:$U$16,7)))</f>
        <v/>
      </c>
      <c r="D9" s="23" t="str">
        <f>IF($B9="","",(VLOOKUP($C9,'Pick list'!$B$11:$F$13,5))/(COUNTIF('House Set Up - Adjustable'!$C$5:$C$12,$C9)))</f>
        <v/>
      </c>
      <c r="E9" s="15" t="str">
        <f>IF(B9="","",D9/'Data Entry'!$C$5)</f>
        <v/>
      </c>
      <c r="F9" s="23" t="str">
        <f>IF($B9="","",(VLOOKUP($C9,'Pick list'!$B$11:$F$13,2))/(COUNTIF('House Set Up - Adjustable'!$C$5:$C$12,$C9)))</f>
        <v/>
      </c>
      <c r="G9" s="15" t="str">
        <f>IF(B9="","",(F9/'Data Entry'!$H$6)*100)</f>
        <v/>
      </c>
      <c r="H9" s="32" t="str">
        <f t="shared" si="0"/>
        <v/>
      </c>
      <c r="I9" s="17" t="str">
        <f>IF('Data Entry'!$L$5="Track",IF($F9="","",(ROUNDUP($F9*('Pick list'!$C$18/200),0))),"")</f>
        <v/>
      </c>
      <c r="J9" s="17" t="str">
        <f>IF('Data Entry'!$L$5="Track",IF($F9="","",(ROUNDUP($F9*('Pick list'!$C$27/200),0))),"")</f>
        <v/>
      </c>
      <c r="K9" s="24" t="str">
        <f>IF('Data Entry'!$L$5="Pans",IF(F9="","",(ROUNDUP((F9/'Pick list'!$C$19),0))),"")</f>
        <v/>
      </c>
      <c r="L9" s="4" t="str">
        <f>IF('Data Entry'!$L$8="Nipples",IF(F9="","",(ROUNDUP((F9/'Pick list'!$C$21),0))),"")</f>
        <v/>
      </c>
      <c r="M9" s="24" t="str">
        <f>IF('Data Entry'!$L$8="Cups",IF(F9="","",(ROUNDUP((F9/'Pick list'!$C$22),0))),"")</f>
        <v/>
      </c>
      <c r="N9" s="4" t="str">
        <f>IF('Data Entry'!$L$8="Bells",IF(F9="","",(ROUNDUP((F9/'Pick list'!$C$20),0))),"")</f>
        <v/>
      </c>
    </row>
    <row r="10" spans="2:14" x14ac:dyDescent="0.35">
      <c r="B10" s="4" t="str">
        <f>IF(C$2="Adjustable",IF('Data Entry'!C$6&gt;5,"Pen 6",""),"")</f>
        <v/>
      </c>
      <c r="C10" s="29" t="str">
        <f>IF(B10="","",IF($F$2="2-way Grade",VLOOKUP('Data Entry'!C$6,'Pick list'!$K$19:$T$25,8),VLOOKUP('Data Entry'!C$6,'Pick list'!$K$10:$U$16,8)))</f>
        <v/>
      </c>
      <c r="D10" s="23" t="str">
        <f>IF($B10="","",(VLOOKUP($C10,'Pick list'!$B$11:$F$13,5))/(COUNTIF('House Set Up - Adjustable'!$C$5:$C$12,$C10)))</f>
        <v/>
      </c>
      <c r="E10" s="15" t="str">
        <f>IF(B10="","",D10/'Data Entry'!$C$5)</f>
        <v/>
      </c>
      <c r="F10" s="23" t="str">
        <f>IF($B10="","",(VLOOKUP($C10,'Pick list'!$B$11:$F$13,2))/(COUNTIF('House Set Up - Adjustable'!$C$5:$C$12,$C10)))</f>
        <v/>
      </c>
      <c r="G10" s="15" t="str">
        <f>IF(B10="","",(F10/'Data Entry'!$H$6)*100)</f>
        <v/>
      </c>
      <c r="H10" s="32" t="str">
        <f t="shared" si="0"/>
        <v/>
      </c>
      <c r="I10" s="17" t="str">
        <f>IF('Data Entry'!$L$5="Track",IF($F10="","",(ROUNDUP($F10*('Pick list'!$C$18/200),0))),"")</f>
        <v/>
      </c>
      <c r="J10" s="17" t="str">
        <f>IF('Data Entry'!$L$5="Track",IF($F10="","",(ROUNDUP($F10*('Pick list'!$C$27/200),0))),"")</f>
        <v/>
      </c>
      <c r="K10" s="24" t="str">
        <f>IF('Data Entry'!$L$5="Pans",IF(F10="","",(ROUNDUP((F10/'Pick list'!$C$19),0))),"")</f>
        <v/>
      </c>
      <c r="L10" s="4" t="str">
        <f>IF('Data Entry'!$L$8="Nipples",IF(F10="","",(ROUNDUP((F10/'Pick list'!$C$21),0))),"")</f>
        <v/>
      </c>
      <c r="M10" s="24" t="str">
        <f>IF('Data Entry'!$L$8="Cups",IF(F10="","",(ROUNDUP((F10/'Pick list'!$C$22),0))),"")</f>
        <v/>
      </c>
      <c r="N10" s="4" t="str">
        <f>IF('Data Entry'!$L$8="Bells",IF(F10="","",(ROUNDUP((F10/'Pick list'!$C$20),0))),"")</f>
        <v/>
      </c>
    </row>
    <row r="11" spans="2:14" x14ac:dyDescent="0.35">
      <c r="B11" s="4" t="str">
        <f>IF(C$2="Adjustable",IF('Data Entry'!C$6&gt;6,"Pen 7",""),"")</f>
        <v/>
      </c>
      <c r="C11" s="29" t="str">
        <f>IF(B11="","",IF($F$2="2-way Grade",VLOOKUP('Data Entry'!C$6,'Pick list'!$K$19:$T$25,9),VLOOKUP('Data Entry'!C$6,'Pick list'!$K$10:$U$16,9)))</f>
        <v/>
      </c>
      <c r="D11" s="23" t="str">
        <f>IF($B11="","",(VLOOKUP($C11,'Pick list'!$B$11:$F$13,5))/(COUNTIF('House Set Up - Adjustable'!$C$5:$C$12,$C11)))</f>
        <v/>
      </c>
      <c r="E11" s="15" t="str">
        <f>IF(B11="","",D11/'Data Entry'!$C$5)</f>
        <v/>
      </c>
      <c r="F11" s="23" t="str">
        <f>IF($B11="","",(VLOOKUP($C11,'Pick list'!$B$11:$F$13,2))/(COUNTIF('House Set Up - Adjustable'!$C$5:$C$12,$C11)))</f>
        <v/>
      </c>
      <c r="G11" s="15" t="str">
        <f>IF(B11="","",(F11/'Data Entry'!$H$6)*100)</f>
        <v/>
      </c>
      <c r="H11" s="32" t="str">
        <f t="shared" si="0"/>
        <v/>
      </c>
      <c r="I11" s="17" t="str">
        <f>IF('Data Entry'!$L$5="Track",IF($F11="","",(ROUNDUP($F11*('Pick list'!$C$18/200),0))),"")</f>
        <v/>
      </c>
      <c r="J11" s="17" t="str">
        <f>IF('Data Entry'!$L$5="Track",IF($F11="","",(ROUNDUP($F11*('Pick list'!$C$27/200),0))),"")</f>
        <v/>
      </c>
      <c r="K11" s="24" t="str">
        <f>IF('Data Entry'!$L$5="Pans",IF(F11="","",(ROUNDUP((F11/'Pick list'!$C$19),0))),"")</f>
        <v/>
      </c>
      <c r="L11" s="4" t="str">
        <f>IF('Data Entry'!$L$8="Nipples",IF(F11="","",(ROUNDUP((F11/'Pick list'!$C$21),0))),"")</f>
        <v/>
      </c>
      <c r="M11" s="24" t="str">
        <f>IF('Data Entry'!$L$8="Cups",IF(F11="","",(ROUNDUP((F11/'Pick list'!$C$22),0))),"")</f>
        <v/>
      </c>
      <c r="N11" s="4" t="str">
        <f>IF('Data Entry'!$L$8="Bells",IF(F11="","",(ROUNDUP((F11/'Pick list'!$C$20),0))),"")</f>
        <v/>
      </c>
    </row>
    <row r="12" spans="2:14" x14ac:dyDescent="0.35">
      <c r="B12" s="4" t="str">
        <f>IF(C$2="Adjustable",IF('Data Entry'!C$6&gt;7,"Pen 8",""),"")</f>
        <v/>
      </c>
      <c r="C12" s="29" t="str">
        <f>IF(B12="","",IF($F$2="2-way Grade",VLOOKUP('Data Entry'!C$6,'Pick list'!$K$19:$T$25,10),VLOOKUP('Data Entry'!C$6,'Pick list'!$K$10:$U$16,10)))</f>
        <v/>
      </c>
      <c r="D12" s="23" t="str">
        <f>IF($B12="","",(VLOOKUP($C12,'Pick list'!$B$11:$F$13,5))/(COUNTIF('House Set Up - Adjustable'!$C$5:$C$12,$C12)))</f>
        <v/>
      </c>
      <c r="E12" s="15" t="str">
        <f>IF(B12="","",D12/'Data Entry'!$C$5)</f>
        <v/>
      </c>
      <c r="F12" s="23" t="str">
        <f>IF($B12="","",(VLOOKUP($C12,'Pick list'!$B$11:$F$13,2))/(COUNTIF('House Set Up - Adjustable'!$C$5:$C$12,$C12)))</f>
        <v/>
      </c>
      <c r="G12" s="15" t="str">
        <f>IF(B12="","",(F12/'Data Entry'!$H$6)*100)</f>
        <v/>
      </c>
      <c r="H12" s="32" t="str">
        <f t="shared" si="0"/>
        <v/>
      </c>
      <c r="I12" s="17" t="str">
        <f>IF('Data Entry'!$L$5="Track",IF($F12="","",(ROUNDUP($F12*('Pick list'!$C$18/200),0))),"")</f>
        <v/>
      </c>
      <c r="J12" s="17" t="str">
        <f>IF('Data Entry'!$L$5="Track",IF($F12="","",(ROUNDUP($F12*('Pick list'!$C$27/200),0))),"")</f>
        <v/>
      </c>
      <c r="K12" s="24" t="str">
        <f>IF('Data Entry'!$L$5="Pans",IF(F12="","",(ROUNDUP((F12/'Pick list'!$C$19),0))),"")</f>
        <v/>
      </c>
      <c r="L12" s="4" t="str">
        <f>IF('Data Entry'!$L$8="Nipples",IF(F12="","",(ROUNDUP((F12/'Pick list'!$C$21),0))),"")</f>
        <v/>
      </c>
      <c r="M12" s="24" t="str">
        <f>IF('Data Entry'!$L$8="Cups",IF(F12="","",(ROUNDUP((F12/'Pick list'!$C$22),0))),"")</f>
        <v/>
      </c>
      <c r="N12" s="4" t="str">
        <f>IF('Data Entry'!$L$8="Bells",IF(F12="","",(ROUNDUP((F12/'Pick list'!$C$20),0))),"")</f>
        <v/>
      </c>
    </row>
    <row r="13" spans="2:14" x14ac:dyDescent="0.35">
      <c r="B13" s="1" t="str">
        <f>IF('Data Entry'!B18="","","Pen 1")</f>
        <v/>
      </c>
      <c r="C13" s="21"/>
      <c r="G13" s="17" t="str">
        <f>IF(B13="","",(F13/'Data Entry'!$H$6)*100)</f>
        <v/>
      </c>
    </row>
    <row r="14" spans="2:14" x14ac:dyDescent="0.35">
      <c r="D14" s="31"/>
    </row>
    <row r="15" spans="2:14" x14ac:dyDescent="0.35">
      <c r="F15" s="58" t="str">
        <f>IF(B5="","","Cut-off Weights")</f>
        <v/>
      </c>
      <c r="G15" s="58"/>
    </row>
    <row r="16" spans="2:14" ht="49.5" customHeight="1" x14ac:dyDescent="0.35">
      <c r="D16" s="18" t="str">
        <f>IF(B5="","","Actual % of Birds")</f>
        <v/>
      </c>
      <c r="E16" s="18" t="str">
        <f>IF(B5="","","Ideal % of Birds")</f>
        <v/>
      </c>
      <c r="F16" s="18" t="str">
        <f>IF(B5="","","Minimum Wt (g)")</f>
        <v/>
      </c>
      <c r="G16" s="18" t="str">
        <f>IF(B5="","","Maximum Wt (g)")</f>
        <v/>
      </c>
    </row>
    <row r="17" spans="3:7" x14ac:dyDescent="0.35">
      <c r="C17" s="2" t="str">
        <f>IF(B5="","","Light")</f>
        <v/>
      </c>
      <c r="D17" s="15" t="str">
        <f>IF(B5="","",SUMIF(C$5:F$12,C17,G$5:G$12))</f>
        <v/>
      </c>
      <c r="E17" s="15" t="str">
        <f>IF(B5="","",'Data Entry'!H18)</f>
        <v/>
      </c>
      <c r="F17" s="4"/>
      <c r="G17" s="17" t="str">
        <f>IF(B5="","",'statistical calculations'!E12)</f>
        <v/>
      </c>
    </row>
    <row r="18" spans="3:7" x14ac:dyDescent="0.35">
      <c r="C18" s="2" t="str">
        <f>IF(B5="","","Normal")</f>
        <v/>
      </c>
      <c r="D18" s="15" t="str">
        <f>IF(B6="","",SUMIF(C$5:F$12,C18,G$5:G$12))</f>
        <v/>
      </c>
      <c r="E18" s="15" t="str">
        <f>IF(B6="","",'Data Entry'!H19)</f>
        <v/>
      </c>
      <c r="F18" s="17" t="str">
        <f>IF(B5="","",'statistical calculations'!E12+1)</f>
        <v/>
      </c>
      <c r="G18" s="17" t="str">
        <f>IF(B5="","",IF(F2="2-way Grade","",'statistical calculations'!E13-1))</f>
        <v/>
      </c>
    </row>
    <row r="19" spans="3:7" x14ac:dyDescent="0.35">
      <c r="C19" s="2" t="str">
        <f>IF(B5="","",IF('Data Entry'!H20="","","Heavy"))</f>
        <v/>
      </c>
      <c r="D19" s="15" t="str">
        <f>IF(C19="","",SUMIF(C$5:F$12,C19,G$5:G$12))</f>
        <v/>
      </c>
      <c r="E19" s="15" t="str">
        <f>IF(B7="","",'Data Entry'!H20)</f>
        <v/>
      </c>
      <c r="F19" s="17" t="str">
        <f>IF(B5="","",IF(F2="2-way Grade","",'statistical calculations'!E13))</f>
        <v/>
      </c>
      <c r="G19" s="4"/>
    </row>
  </sheetData>
  <sheetProtection password="EF62" sheet="1" objects="1" scenarios="1" selectLockedCells="1"/>
  <mergeCells count="3">
    <mergeCell ref="F15:G15"/>
    <mergeCell ref="L3:N3"/>
    <mergeCell ref="I3:K3"/>
  </mergeCells>
  <conditionalFormatting sqref="H5:H12">
    <cfRule type="cellIs" dxfId="10" priority="9" operator="greaterThan">
      <formula>7</formula>
    </cfRule>
  </conditionalFormatting>
  <conditionalFormatting sqref="C5:C12">
    <cfRule type="expression" dxfId="9" priority="8">
      <formula>$B$5=""</formula>
    </cfRule>
  </conditionalFormatting>
  <pageMargins left="0.70866141732283472" right="0.70866141732283472" top="0.74803149606299213" bottom="0.74803149606299213" header="0.31496062992125984" footer="0.31496062992125984"/>
  <pageSetup paperSize="9" scale="50" orientation="landscape" blackAndWhite="1" r:id="rId1"/>
  <headerFooter>
    <oddFooter>&amp;C&amp;G
&amp;24www.Aviagen.com&amp;L&amp;D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20"/>
  <sheetViews>
    <sheetView zoomScale="88" zoomScaleNormal="88" workbookViewId="0">
      <selection activeCell="C5" sqref="C5"/>
    </sheetView>
  </sheetViews>
  <sheetFormatPr defaultRowHeight="23.25" x14ac:dyDescent="0.35"/>
  <cols>
    <col min="1" max="1" width="5" style="1" customWidth="1"/>
    <col min="2" max="2" width="13.5703125" style="1" customWidth="1"/>
    <col min="3" max="3" width="17.42578125" style="1" customWidth="1"/>
    <col min="4" max="4" width="19.42578125" style="1" customWidth="1"/>
    <col min="5" max="5" width="21.140625" style="1" customWidth="1"/>
    <col min="6" max="6" width="17.7109375" style="1" customWidth="1"/>
    <col min="7" max="7" width="16.85546875" style="1" customWidth="1"/>
    <col min="8" max="8" width="17.42578125" style="1" customWidth="1"/>
    <col min="9" max="14" width="19.7109375" style="1" customWidth="1"/>
    <col min="15" max="16384" width="9.140625" style="1"/>
  </cols>
  <sheetData>
    <row r="2" spans="2:14" x14ac:dyDescent="0.35">
      <c r="B2" s="20" t="s">
        <v>27</v>
      </c>
      <c r="C2" s="5">
        <f>'Data Entry'!C7</f>
        <v>0</v>
      </c>
      <c r="E2" s="2" t="s">
        <v>46</v>
      </c>
      <c r="F2" s="1" t="str">
        <f>'Data Entry'!H14</f>
        <v/>
      </c>
    </row>
    <row r="3" spans="2:14" x14ac:dyDescent="0.35">
      <c r="B3" s="7"/>
      <c r="C3" s="5"/>
      <c r="D3" s="2"/>
      <c r="E3" s="2"/>
      <c r="F3" s="2"/>
      <c r="G3" s="2"/>
      <c r="H3" s="2"/>
      <c r="I3" s="60" t="s">
        <v>34</v>
      </c>
      <c r="J3" s="60"/>
      <c r="K3" s="60"/>
      <c r="L3" s="59" t="s">
        <v>35</v>
      </c>
      <c r="M3" s="59"/>
      <c r="N3" s="59"/>
    </row>
    <row r="4" spans="2:14" ht="107.25" customHeight="1" thickBot="1" x14ac:dyDescent="0.4">
      <c r="C4" s="25" t="s">
        <v>30</v>
      </c>
      <c r="D4" s="25" t="s">
        <v>36</v>
      </c>
      <c r="E4" s="26" t="s">
        <v>31</v>
      </c>
      <c r="F4" s="25" t="s">
        <v>47</v>
      </c>
      <c r="G4" s="26" t="s">
        <v>48</v>
      </c>
      <c r="H4" s="25" t="s">
        <v>37</v>
      </c>
      <c r="I4" s="26" t="str">
        <f>CONCATENATE("Track length (m) required at ",'Data Entry'!H5,"w ","at ",'Pick list'!C18,"cm/b")</f>
        <v>Track length (m) required at w at 5cm/b</v>
      </c>
      <c r="J4" s="26" t="str">
        <f>CONCATENATE("Track length (m) required at 20w at ",'Pick list'!C27,"cm/b")</f>
        <v>Track length (m) required at 20w at 15cm/b</v>
      </c>
      <c r="K4" s="28" t="s">
        <v>38</v>
      </c>
      <c r="L4" s="27" t="s">
        <v>39</v>
      </c>
      <c r="M4" s="28" t="s">
        <v>40</v>
      </c>
      <c r="N4" s="27" t="s">
        <v>41</v>
      </c>
    </row>
    <row r="5" spans="2:14" x14ac:dyDescent="0.35">
      <c r="B5" s="4" t="str">
        <f>IF('Data Entry'!B10="","","Pen 1")</f>
        <v/>
      </c>
      <c r="C5" s="38"/>
      <c r="D5" s="4" t="str">
        <f>IF(B5="","",'Data Entry'!E10)</f>
        <v/>
      </c>
      <c r="E5" s="23" t="str">
        <f>IF(B5="","",D5*'Data Entry'!$J$6)</f>
        <v/>
      </c>
      <c r="F5" s="15" t="str">
        <f>IF(E5="","",(E5/'Data Entry'!$H$6)*100)</f>
        <v/>
      </c>
      <c r="G5" s="32" t="str">
        <f>IF(B5="","",(VLOOKUP(C5,'Pick list'!$B$11:$E$13,4))/((VLOOKUP(C5,'Pick list'!$B$11:$E$13,3))/D5))</f>
        <v/>
      </c>
      <c r="H5" s="15" t="str">
        <f>IF(B5="","",E5/D5)</f>
        <v/>
      </c>
      <c r="I5" s="23" t="str">
        <f>IF('Data Entry'!$L$5="Track",IF($E5="","",(ROUNDUP($E5*('Pick list'!$C$18/200),0))),"")</f>
        <v/>
      </c>
      <c r="J5" s="23" t="str">
        <f>IF('Data Entry'!$L$5="Track",IF($E5="","",(ROUNDUP($E5*('Pick list'!$C$27/200),0))),"")</f>
        <v/>
      </c>
      <c r="K5" s="4" t="str">
        <f>IF('Data Entry'!$L$5="Pans",IF(E5="","",(ROUNDUP((E5/'Pick list'!$C$19),0))),"")</f>
        <v/>
      </c>
      <c r="L5" s="24" t="str">
        <f>IF('Data Entry'!$L$8="Nipples",IF(E5="","",(ROUNDUP((E5/'Pick list'!$C$21),0))),"")</f>
        <v/>
      </c>
      <c r="M5" s="4" t="str">
        <f>IF('Data Entry'!$L$8="Cups",IF(E5="","",(ROUNDUP((E5/'Pick list'!$C$22),0))),"")</f>
        <v/>
      </c>
      <c r="N5" s="24" t="str">
        <f>IF('Data Entry'!$L$8="Bells",IF(E5="","",(ROUNDUP((E5/'Pick list'!$C$20),0))),"")</f>
        <v/>
      </c>
    </row>
    <row r="6" spans="2:14" x14ac:dyDescent="0.35">
      <c r="B6" s="4" t="str">
        <f>IF('Data Entry'!B11="","","Pen 2")</f>
        <v/>
      </c>
      <c r="C6" s="39"/>
      <c r="D6" s="4" t="str">
        <f>IF(B6="","",'Data Entry'!E11)</f>
        <v/>
      </c>
      <c r="E6" s="23" t="str">
        <f>IF(B6="","",D6*'Data Entry'!$J$6)</f>
        <v/>
      </c>
      <c r="F6" s="15" t="str">
        <f>IF(E6="","",(E6/'Data Entry'!$H$6)*100)</f>
        <v/>
      </c>
      <c r="G6" s="32" t="str">
        <f>IF(B6="","",(VLOOKUP(C6,'Pick list'!$B$11:$E$13,4))/((VLOOKUP(C6,'Pick list'!$B$11:$E$13,3))/D6))</f>
        <v/>
      </c>
      <c r="H6" s="15" t="str">
        <f t="shared" ref="H6:H12" si="0">IF(B6="","",E6/D6)</f>
        <v/>
      </c>
      <c r="I6" s="23" t="str">
        <f>IF('Data Entry'!$L$5="Track",IF($E6="","",(ROUNDUP($E6*('Pick list'!$C$18/200),0))),"")</f>
        <v/>
      </c>
      <c r="J6" s="23" t="str">
        <f>IF('Data Entry'!$L$5="Track",IF($E6="","",(ROUNDUP($E6*('Pick list'!$C$27/200),0))),"")</f>
        <v/>
      </c>
      <c r="K6" s="4" t="str">
        <f>IF('Data Entry'!$L$5="Pans",IF(E6="","",(ROUNDUP((E6/'Pick list'!$C$19),0))),"")</f>
        <v/>
      </c>
      <c r="L6" s="24" t="str">
        <f>IF('Data Entry'!$L$8="Nipples",IF(E6="","",(ROUNDUP((E6/'Pick list'!$C$21),0))),"")</f>
        <v/>
      </c>
      <c r="M6" s="4" t="str">
        <f>IF('Data Entry'!$L$8="Cups",IF(E6="","",(ROUNDUP((E6/'Pick list'!$C$22),0))),"")</f>
        <v/>
      </c>
      <c r="N6" s="24" t="str">
        <f>IF('Data Entry'!$L$8="Bells",IF(E6="","",(ROUNDUP((E6/'Pick list'!$C$20),0))),"")</f>
        <v/>
      </c>
    </row>
    <row r="7" spans="2:14" x14ac:dyDescent="0.35">
      <c r="B7" s="4" t="str">
        <f>IF('Data Entry'!B12="","","Pen 3")</f>
        <v/>
      </c>
      <c r="C7" s="39"/>
      <c r="D7" s="4" t="str">
        <f>IF(B7="","",'Data Entry'!E12)</f>
        <v/>
      </c>
      <c r="E7" s="23" t="str">
        <f>IF(B7="","",D7*'Data Entry'!$J$6)</f>
        <v/>
      </c>
      <c r="F7" s="15" t="str">
        <f>IF(E7="","",(E7/'Data Entry'!$H$6)*100)</f>
        <v/>
      </c>
      <c r="G7" s="32" t="str">
        <f>IF(B7="","",(VLOOKUP(C7,'Pick list'!$B$11:$E$13,4))/((VLOOKUP(C7,'Pick list'!$B$11:$E$13,3))/D7))</f>
        <v/>
      </c>
      <c r="H7" s="15" t="str">
        <f t="shared" si="0"/>
        <v/>
      </c>
      <c r="I7" s="23" t="str">
        <f>IF('Data Entry'!$L$5="Track",IF($E7="","",(ROUNDUP($E7*('Pick list'!$C$18/200),0))),"")</f>
        <v/>
      </c>
      <c r="J7" s="23" t="str">
        <f>IF('Data Entry'!$L$5="Track",IF($E7="","",(ROUNDUP($E7*('Pick list'!$C$27/200),0))),"")</f>
        <v/>
      </c>
      <c r="K7" s="4" t="str">
        <f>IF('Data Entry'!$L$5="Pans",IF(E7="","",(ROUNDUP((E7/'Pick list'!$C$19),0))),"")</f>
        <v/>
      </c>
      <c r="L7" s="24" t="str">
        <f>IF('Data Entry'!$L$8="Nipples",IF(E7="","",(ROUNDUP((E7/'Pick list'!$C$21),0))),"")</f>
        <v/>
      </c>
      <c r="M7" s="4" t="str">
        <f>IF('Data Entry'!$L$8="Cups",IF(E7="","",(ROUNDUP((E7/'Pick list'!$C$22),0))),"")</f>
        <v/>
      </c>
      <c r="N7" s="24" t="str">
        <f>IF('Data Entry'!$L$8="Bells",IF(E7="","",(ROUNDUP((E7/'Pick list'!$C$20),0))),"")</f>
        <v/>
      </c>
    </row>
    <row r="8" spans="2:14" x14ac:dyDescent="0.35">
      <c r="B8" s="4" t="str">
        <f>IF('Data Entry'!B13="","","Pen 4")</f>
        <v/>
      </c>
      <c r="C8" s="39"/>
      <c r="D8" s="4" t="str">
        <f>IF(B8="","",'Data Entry'!E13)</f>
        <v/>
      </c>
      <c r="E8" s="23" t="str">
        <f>IF(B8="","",D8*'Data Entry'!$J$6)</f>
        <v/>
      </c>
      <c r="F8" s="15" t="str">
        <f>IF(E8="","",(E8/'Data Entry'!$H$6)*100)</f>
        <v/>
      </c>
      <c r="G8" s="32" t="str">
        <f>IF(B8="","",(VLOOKUP(C8,'Pick list'!$B$11:$E$13,4))/((VLOOKUP(C8,'Pick list'!$B$11:$E$13,3))/D8))</f>
        <v/>
      </c>
      <c r="H8" s="15" t="str">
        <f t="shared" si="0"/>
        <v/>
      </c>
      <c r="I8" s="23" t="str">
        <f>IF('Data Entry'!$L$5="Track",IF($E8="","",(ROUNDUP($E8*('Pick list'!$C$18/200),0))),"")</f>
        <v/>
      </c>
      <c r="J8" s="23" t="str">
        <f>IF('Data Entry'!$L$5="Track",IF($E8="","",(ROUNDUP($E8*('Pick list'!$C$27/200),0))),"")</f>
        <v/>
      </c>
      <c r="K8" s="4" t="str">
        <f>IF('Data Entry'!$L$5="Pans",IF(E8="","",(ROUNDUP((E8/'Pick list'!$C$19),0))),"")</f>
        <v/>
      </c>
      <c r="L8" s="24" t="str">
        <f>IF('Data Entry'!$L$8="Nipples",IF(E8="","",(ROUNDUP((E8/'Pick list'!$C$21),0))),"")</f>
        <v/>
      </c>
      <c r="M8" s="4" t="str">
        <f>IF('Data Entry'!$L$8="Cups",IF(E8="","",(ROUNDUP((E8/'Pick list'!$C$22),0))),"")</f>
        <v/>
      </c>
      <c r="N8" s="24" t="str">
        <f>IF('Data Entry'!$L$8="Bells",IF(E8="","",(ROUNDUP((E8/'Pick list'!$C$20),0))),"")</f>
        <v/>
      </c>
    </row>
    <row r="9" spans="2:14" x14ac:dyDescent="0.35">
      <c r="B9" s="4" t="str">
        <f>IF('Data Entry'!B14="","","Pen 5")</f>
        <v/>
      </c>
      <c r="C9" s="39"/>
      <c r="D9" s="4" t="str">
        <f>IF(B9="","",'Data Entry'!E14)</f>
        <v/>
      </c>
      <c r="E9" s="23" t="str">
        <f>IF(B9="","",D9*'Data Entry'!$J$6)</f>
        <v/>
      </c>
      <c r="F9" s="15" t="str">
        <f>IF(E9="","",(E9/'Data Entry'!$H$6)*100)</f>
        <v/>
      </c>
      <c r="G9" s="32" t="str">
        <f>IF(B9="","",(VLOOKUP(C9,'Pick list'!$B$11:$E$13,4))/((VLOOKUP(C9,'Pick list'!$B$11:$E$13,3))/D9))</f>
        <v/>
      </c>
      <c r="H9" s="15" t="str">
        <f t="shared" si="0"/>
        <v/>
      </c>
      <c r="I9" s="23" t="str">
        <f>IF('Data Entry'!$L$5="Track",IF($E9="","",(ROUNDUP($E9*('Pick list'!$C$18/200),0))),"")</f>
        <v/>
      </c>
      <c r="J9" s="23" t="str">
        <f>IF('Data Entry'!$L$5="Track",IF($E9="","",(ROUNDUP($E9*('Pick list'!$C$27/200),0))),"")</f>
        <v/>
      </c>
      <c r="K9" s="4" t="str">
        <f>IF('Data Entry'!$L$5="Pans",IF(E9="","",(ROUNDUP((E9/'Pick list'!$C$19),0))),"")</f>
        <v/>
      </c>
      <c r="L9" s="24" t="str">
        <f>IF('Data Entry'!$L$8="Nipples",IF(E9="","",(ROUNDUP((E9/'Pick list'!$C$21),0))),"")</f>
        <v/>
      </c>
      <c r="M9" s="4" t="str">
        <f>IF('Data Entry'!$L$8="Cups",IF(E9="","",(ROUNDUP((E9/'Pick list'!$C$22),0))),"")</f>
        <v/>
      </c>
      <c r="N9" s="24" t="str">
        <f>IF('Data Entry'!$L$8="Bells",IF(E9="","",(ROUNDUP((E9/'Pick list'!$C$20),0))),"")</f>
        <v/>
      </c>
    </row>
    <row r="10" spans="2:14" x14ac:dyDescent="0.35">
      <c r="B10" s="4" t="str">
        <f>IF('Data Entry'!B15="","","Pen6")</f>
        <v/>
      </c>
      <c r="C10" s="39"/>
      <c r="D10" s="4" t="str">
        <f>IF(B10="","",'Data Entry'!E15)</f>
        <v/>
      </c>
      <c r="E10" s="23" t="str">
        <f>IF(B10="","",D10*'Data Entry'!$J$6)</f>
        <v/>
      </c>
      <c r="F10" s="15" t="str">
        <f>IF(E10="","",(E10/'Data Entry'!$H$6)*100)</f>
        <v/>
      </c>
      <c r="G10" s="32" t="str">
        <f>IF(B10="","",(VLOOKUP(C10,'Pick list'!$B$11:$E$13,4))/((VLOOKUP(C10,'Pick list'!$B$11:$E$13,3))/D10))</f>
        <v/>
      </c>
      <c r="H10" s="15" t="str">
        <f t="shared" si="0"/>
        <v/>
      </c>
      <c r="I10" s="23" t="str">
        <f>IF('Data Entry'!$L$5="Track",IF($E10="","",(ROUNDUP($E10*('Pick list'!$C$18/200),0))),"")</f>
        <v/>
      </c>
      <c r="J10" s="23" t="str">
        <f>IF('Data Entry'!$L$5="Track",IF($E10="","",(ROUNDUP($E10*('Pick list'!$C$27/200),0))),"")</f>
        <v/>
      </c>
      <c r="K10" s="4" t="str">
        <f>IF('Data Entry'!$L$5="Pans",IF(E10="","",(ROUNDUP((E10/'Pick list'!$C$19),0))),"")</f>
        <v/>
      </c>
      <c r="L10" s="24" t="str">
        <f>IF('Data Entry'!$L$8="Nipples",IF(E10="","",(ROUNDUP((E10/'Pick list'!$C$21),0))),"")</f>
        <v/>
      </c>
      <c r="M10" s="4" t="str">
        <f>IF('Data Entry'!$L$8="Cups",IF(E10="","",(ROUNDUP((E10/'Pick list'!$C$22),0))),"")</f>
        <v/>
      </c>
      <c r="N10" s="24" t="str">
        <f>IF('Data Entry'!$L$8="Bells",IF(E10="","",(ROUNDUP((E10/'Pick list'!$C$20),0))),"")</f>
        <v/>
      </c>
    </row>
    <row r="11" spans="2:14" x14ac:dyDescent="0.35">
      <c r="B11" s="4" t="str">
        <f>IF('Data Entry'!B16="","","Pen 7")</f>
        <v/>
      </c>
      <c r="C11" s="39"/>
      <c r="D11" s="4" t="str">
        <f>IF(B11="","",'Data Entry'!E16)</f>
        <v/>
      </c>
      <c r="E11" s="23" t="str">
        <f>IF(B11="","",D11*'Data Entry'!$J$6)</f>
        <v/>
      </c>
      <c r="F11" s="15" t="str">
        <f>IF(E11="","",(E11/'Data Entry'!$H$6)*100)</f>
        <v/>
      </c>
      <c r="G11" s="32" t="str">
        <f>IF(B11="","",(VLOOKUP(C11,'Pick list'!$B$11:$E$13,4))/((VLOOKUP(C11,'Pick list'!$B$11:$E$13,3))/D11))</f>
        <v/>
      </c>
      <c r="H11" s="15" t="str">
        <f t="shared" si="0"/>
        <v/>
      </c>
      <c r="I11" s="23" t="str">
        <f>IF('Data Entry'!$L$5="Track",IF($E11="","",(ROUNDUP($E11*('Pick list'!$C$18/200),0))),"")</f>
        <v/>
      </c>
      <c r="J11" s="23" t="str">
        <f>IF('Data Entry'!$L$5="Track",IF($E11="","",(ROUNDUP($E11*('Pick list'!$C$27/200),0))),"")</f>
        <v/>
      </c>
      <c r="K11" s="4" t="str">
        <f>IF('Data Entry'!$L$5="Pans",IF(E11="","",(ROUNDUP((E11/'Pick list'!$C$19),0))),"")</f>
        <v/>
      </c>
      <c r="L11" s="24" t="str">
        <f>IF('Data Entry'!$L$8="Nipples",IF(E11="","",(ROUNDUP((E11/'Pick list'!$C$21),0))),"")</f>
        <v/>
      </c>
      <c r="M11" s="4" t="str">
        <f>IF('Data Entry'!$L$8="Cups",IF(E11="","",(ROUNDUP((E11/'Pick list'!$C$22),0))),"")</f>
        <v/>
      </c>
      <c r="N11" s="24" t="str">
        <f>IF('Data Entry'!$L$8="Bells",IF(E11="","",(ROUNDUP((E11/'Pick list'!$C$20),0))),"")</f>
        <v/>
      </c>
    </row>
    <row r="12" spans="2:14" ht="24" thickBot="1" x14ac:dyDescent="0.4">
      <c r="B12" s="4" t="str">
        <f>IF('Data Entry'!B17="","","Pen 8")</f>
        <v/>
      </c>
      <c r="C12" s="40"/>
      <c r="D12" s="4" t="str">
        <f>IF(B12="","",'Data Entry'!E17)</f>
        <v/>
      </c>
      <c r="E12" s="23" t="str">
        <f>IF(B12="","",D12*'Data Entry'!$J$6)</f>
        <v/>
      </c>
      <c r="F12" s="15" t="str">
        <f>IF(E12="","",(E12/'Data Entry'!$H$6)*100)</f>
        <v/>
      </c>
      <c r="G12" s="32" t="str">
        <f>IF(B12="","",(VLOOKUP(C12,'Pick list'!$B$11:$E$13,4))/((VLOOKUP(C12,'Pick list'!$B$11:$E$13,3))/D12))</f>
        <v/>
      </c>
      <c r="H12" s="15" t="str">
        <f t="shared" si="0"/>
        <v/>
      </c>
      <c r="I12" s="23" t="str">
        <f>IF('Data Entry'!$L$5="Track",IF($E12="","",(ROUNDUP($E12*('Pick list'!$C$18/200),0))),"")</f>
        <v/>
      </c>
      <c r="J12" s="23" t="str">
        <f>IF('Data Entry'!$L$5="Track",IF($E12="","",(ROUNDUP($E12*('Pick list'!$C$27/200),0))),"")</f>
        <v/>
      </c>
      <c r="K12" s="4" t="str">
        <f>IF('Data Entry'!$L$5="Pans",IF(E12="","",(ROUNDUP((E12/'Pick list'!$C$19),0))),"")</f>
        <v/>
      </c>
      <c r="L12" s="24" t="str">
        <f>IF('Data Entry'!$L$8="Nipples",IF(E12="","",(ROUNDUP((E12/'Pick list'!$C$21),0))),"")</f>
        <v/>
      </c>
      <c r="M12" s="4" t="str">
        <f>IF('Data Entry'!$L$8="Cups",IF(E12="","",(ROUNDUP((E12/'Pick list'!$C$22),0))),"")</f>
        <v/>
      </c>
      <c r="N12" s="24" t="str">
        <f>IF('Data Entry'!$L$8="Bells",IF(E12="","",(ROUNDUP((E12/'Pick list'!$C$20),0))),"")</f>
        <v/>
      </c>
    </row>
    <row r="13" spans="2:14" x14ac:dyDescent="0.35">
      <c r="B13" s="1" t="str">
        <f>IF('Data Entry'!B18="","","Pen 1")</f>
        <v/>
      </c>
      <c r="C13" s="21" t="str">
        <f>IF(B5="","",IF('Data Entry'!H20="","",IF((COUNTIF('House Set Up - Fixed'!C5:C12,"Heavy"))=0,"Heavy pen not selected","")))</f>
        <v/>
      </c>
      <c r="G13" s="17" t="str">
        <f>IF(E13="","",E13*('Pick list'!$C$18/100))</f>
        <v/>
      </c>
    </row>
    <row r="14" spans="2:14" x14ac:dyDescent="0.35">
      <c r="C14" s="21"/>
      <c r="G14" s="17"/>
    </row>
    <row r="15" spans="2:14" x14ac:dyDescent="0.35">
      <c r="F15" s="58" t="str">
        <f>IF(B5="","","Cut-off Weights")</f>
        <v/>
      </c>
      <c r="G15" s="58"/>
    </row>
    <row r="16" spans="2:14" ht="46.5" x14ac:dyDescent="0.35">
      <c r="D16" s="48" t="str">
        <f>IF(B5="","","Actual % of Birds")</f>
        <v/>
      </c>
      <c r="E16" s="18" t="str">
        <f>IF(B5="","","Ideal % of Birds")</f>
        <v/>
      </c>
      <c r="F16" s="18" t="str">
        <f>IF(B5="","","Minimum Wt (g)")</f>
        <v/>
      </c>
      <c r="G16" s="18" t="str">
        <f>IF(B5="","","Maximum Wt (g)")</f>
        <v/>
      </c>
      <c r="H16" s="18"/>
      <c r="I16" s="18"/>
      <c r="J16" s="18"/>
      <c r="K16" s="18"/>
      <c r="L16" s="18"/>
      <c r="M16" s="18"/>
    </row>
    <row r="17" spans="3:7" x14ac:dyDescent="0.35">
      <c r="C17" s="2" t="str">
        <f>IF(B5="","","Light")</f>
        <v/>
      </c>
      <c r="D17" s="15" t="str">
        <f>IF(B5="","",SUMIF(C$5:F$12,C17,F$5:F$12))</f>
        <v/>
      </c>
      <c r="E17" s="15" t="str">
        <f>IF(B5="","",'Data Entry'!H18)</f>
        <v/>
      </c>
      <c r="F17" s="4"/>
      <c r="G17" s="17" t="str">
        <f>IF(B5="","",'statistical calculations'!E8)</f>
        <v/>
      </c>
    </row>
    <row r="18" spans="3:7" x14ac:dyDescent="0.35">
      <c r="C18" s="2" t="str">
        <f>IF(B5="","","Normal")</f>
        <v/>
      </c>
      <c r="D18" s="15" t="str">
        <f>IF(B6="","",SUMIF(C$5:F$12,C18,F$5:F$12))</f>
        <v/>
      </c>
      <c r="E18" s="15" t="str">
        <f>IF(B6="","",'Data Entry'!H19)</f>
        <v/>
      </c>
      <c r="F18" s="17" t="str">
        <f>IF(B5="","",'statistical calculations'!E8+1)</f>
        <v/>
      </c>
      <c r="G18" s="17" t="str">
        <f>IF(B5="","",IF(F2="2-way Grade","",'statistical calculations'!E9-1))</f>
        <v/>
      </c>
    </row>
    <row r="19" spans="3:7" x14ac:dyDescent="0.35">
      <c r="C19" s="2" t="str">
        <f>IF(B5="","",IF('Data Entry'!H20="","","Heavy"))</f>
        <v/>
      </c>
      <c r="D19" s="15" t="str">
        <f>IF(B7="","",IF(F2="2-way Grade","",SUMIF(C$5:F$12,C19,F$5:F$12)))</f>
        <v/>
      </c>
      <c r="E19" s="15" t="str">
        <f>IF(B7="","",'Data Entry'!H20)</f>
        <v/>
      </c>
      <c r="F19" s="17" t="str">
        <f>IF(B5="","",IF(F2="2-way Grade","",'statistical calculations'!E9))</f>
        <v/>
      </c>
      <c r="G19" s="4"/>
    </row>
    <row r="20" spans="3:7" x14ac:dyDescent="0.35">
      <c r="C20" s="2"/>
      <c r="D20" s="15"/>
      <c r="E20" s="15"/>
    </row>
  </sheetData>
  <sheetProtection password="EF62" sheet="1" objects="1" scenarios="1" selectLockedCells="1"/>
  <mergeCells count="3">
    <mergeCell ref="F15:G15"/>
    <mergeCell ref="L3:N3"/>
    <mergeCell ref="I3:K3"/>
  </mergeCells>
  <conditionalFormatting sqref="H5:H12">
    <cfRule type="cellIs" dxfId="8" priority="9" operator="greaterThan">
      <formula>7</formula>
    </cfRule>
  </conditionalFormatting>
  <conditionalFormatting sqref="C5">
    <cfRule type="expression" dxfId="7" priority="8">
      <formula>$B$5=""</formula>
    </cfRule>
  </conditionalFormatting>
  <conditionalFormatting sqref="C6">
    <cfRule type="expression" dxfId="6" priority="7">
      <formula>$B$6=""</formula>
    </cfRule>
  </conditionalFormatting>
  <conditionalFormatting sqref="C7">
    <cfRule type="expression" dxfId="5" priority="6">
      <formula>$B$7=""</formula>
    </cfRule>
  </conditionalFormatting>
  <conditionalFormatting sqref="C8">
    <cfRule type="expression" dxfId="4" priority="5">
      <formula>$B$8=""</formula>
    </cfRule>
  </conditionalFormatting>
  <conditionalFormatting sqref="C9">
    <cfRule type="expression" dxfId="3" priority="4">
      <formula>$B$9=""</formula>
    </cfRule>
  </conditionalFormatting>
  <conditionalFormatting sqref="C10">
    <cfRule type="expression" dxfId="2" priority="3">
      <formula>$B$10=""</formula>
    </cfRule>
  </conditionalFormatting>
  <conditionalFormatting sqref="C11">
    <cfRule type="expression" dxfId="1" priority="2">
      <formula>$B$11=""</formula>
    </cfRule>
  </conditionalFormatting>
  <conditionalFormatting sqref="C12">
    <cfRule type="expression" dxfId="0" priority="1">
      <formula>$B$12=""</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Footer>&amp;C&amp;G
&amp;24www.Aviagen.com</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'Pick list'!$F$2:$F$4</xm:f>
          </x14:formula1>
          <xm:sqref>C5:C12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31"/>
  <sheetViews>
    <sheetView workbookViewId="0">
      <selection activeCell="C25" sqref="C25"/>
    </sheetView>
  </sheetViews>
  <sheetFormatPr defaultRowHeight="15" x14ac:dyDescent="0.25"/>
  <cols>
    <col min="1" max="1" width="14" style="6" customWidth="1"/>
    <col min="2" max="4" width="15.5703125" style="6" customWidth="1"/>
    <col min="5" max="16384" width="9.140625" style="6"/>
  </cols>
  <sheetData>
    <row r="1" spans="1:20" x14ac:dyDescent="0.25">
      <c r="A1" s="19" t="s">
        <v>32</v>
      </c>
    </row>
    <row r="2" spans="1:20" x14ac:dyDescent="0.25">
      <c r="B2" s="6" t="s">
        <v>5</v>
      </c>
      <c r="C2" s="6">
        <v>2</v>
      </c>
      <c r="D2" s="6" t="s">
        <v>70</v>
      </c>
      <c r="E2" s="6">
        <v>2</v>
      </c>
      <c r="F2" s="6" t="s">
        <v>20</v>
      </c>
      <c r="H2" s="6" t="s">
        <v>75</v>
      </c>
      <c r="J2" s="6" t="s">
        <v>39</v>
      </c>
    </row>
    <row r="3" spans="1:20" x14ac:dyDescent="0.25">
      <c r="B3" s="6" t="s">
        <v>6</v>
      </c>
      <c r="C3" s="6">
        <v>3</v>
      </c>
      <c r="D3" s="6" t="s">
        <v>71</v>
      </c>
      <c r="E3" s="6">
        <v>3</v>
      </c>
      <c r="F3" s="6" t="s">
        <v>21</v>
      </c>
      <c r="H3" s="6" t="s">
        <v>38</v>
      </c>
      <c r="J3" s="6" t="s">
        <v>40</v>
      </c>
    </row>
    <row r="4" spans="1:20" x14ac:dyDescent="0.25">
      <c r="C4" s="6">
        <v>4</v>
      </c>
      <c r="E4" s="6">
        <v>4</v>
      </c>
      <c r="F4" s="6" t="s">
        <v>22</v>
      </c>
      <c r="J4" s="6" t="s">
        <v>41</v>
      </c>
    </row>
    <row r="5" spans="1:20" x14ac:dyDescent="0.25">
      <c r="C5" s="6">
        <v>5</v>
      </c>
      <c r="E5" s="6">
        <v>5</v>
      </c>
    </row>
    <row r="6" spans="1:20" x14ac:dyDescent="0.25">
      <c r="C6" s="6">
        <v>6</v>
      </c>
      <c r="E6" s="6">
        <v>6</v>
      </c>
    </row>
    <row r="7" spans="1:20" x14ac:dyDescent="0.25">
      <c r="C7" s="6">
        <v>7</v>
      </c>
      <c r="E7" s="6">
        <v>7</v>
      </c>
    </row>
    <row r="8" spans="1:20" x14ac:dyDescent="0.25">
      <c r="C8" s="6">
        <v>8</v>
      </c>
    </row>
    <row r="9" spans="1:20" x14ac:dyDescent="0.25">
      <c r="D9" s="6" t="s">
        <v>5</v>
      </c>
      <c r="F9" s="6" t="s">
        <v>53</v>
      </c>
      <c r="M9" s="6">
        <v>1</v>
      </c>
      <c r="N9" s="6">
        <v>2</v>
      </c>
      <c r="O9" s="6">
        <v>3</v>
      </c>
      <c r="P9" s="6">
        <v>4</v>
      </c>
      <c r="Q9" s="6">
        <v>5</v>
      </c>
      <c r="R9" s="6">
        <v>6</v>
      </c>
      <c r="S9" s="6">
        <v>7</v>
      </c>
      <c r="T9" s="6">
        <v>8</v>
      </c>
    </row>
    <row r="10" spans="1:20" x14ac:dyDescent="0.25">
      <c r="A10" s="19" t="s">
        <v>33</v>
      </c>
      <c r="C10" s="6" t="s">
        <v>14</v>
      </c>
      <c r="D10" s="6" t="s">
        <v>51</v>
      </c>
      <c r="E10" s="6" t="s">
        <v>50</v>
      </c>
      <c r="F10" s="6" t="s">
        <v>54</v>
      </c>
      <c r="K10" s="6">
        <v>2</v>
      </c>
      <c r="L10" s="45" t="e">
        <f>'Data Entry'!$E$5/'Pick list'!K10</f>
        <v>#VALUE!</v>
      </c>
      <c r="M10" s="6" t="s">
        <v>20</v>
      </c>
      <c r="N10" s="6" t="s">
        <v>21</v>
      </c>
    </row>
    <row r="11" spans="1:20" x14ac:dyDescent="0.25">
      <c r="B11" s="6" t="s">
        <v>22</v>
      </c>
      <c r="C11" s="6" t="str">
        <f>'Data Entry'!J20</f>
        <v/>
      </c>
      <c r="D11" s="6">
        <f ca="1">SUMIF('House Set Up - Fixed'!C$5:D$12,B11,'House Set Up - Fixed'!D$5:D$12)</f>
        <v>0</v>
      </c>
      <c r="E11" s="6" t="str">
        <f>'Data Entry'!H20</f>
        <v/>
      </c>
      <c r="F11" s="30" t="e">
        <f>(E11/100)*'Data Entry'!$E$5</f>
        <v>#VALUE!</v>
      </c>
      <c r="K11" s="6">
        <v>3</v>
      </c>
      <c r="L11" s="45" t="e">
        <f>'Data Entry'!$E$5/'Pick list'!K11</f>
        <v>#VALUE!</v>
      </c>
      <c r="M11" s="6" t="s">
        <v>20</v>
      </c>
      <c r="N11" s="6" t="s">
        <v>21</v>
      </c>
      <c r="O11" s="6" t="s">
        <v>22</v>
      </c>
    </row>
    <row r="12" spans="1:20" x14ac:dyDescent="0.25">
      <c r="B12" s="6" t="s">
        <v>20</v>
      </c>
      <c r="C12" s="6" t="str">
        <f>'Data Entry'!J18</f>
        <v/>
      </c>
      <c r="D12" s="6">
        <f ca="1">SUMIF('House Set Up - Fixed'!C$5:D$12,B12,'House Set Up - Fixed'!D$5:D$12)</f>
        <v>0</v>
      </c>
      <c r="E12" s="6" t="str">
        <f>'Data Entry'!H18</f>
        <v/>
      </c>
      <c r="F12" s="30" t="e">
        <f>(E12/100)*'Data Entry'!$E$5</f>
        <v>#VALUE!</v>
      </c>
      <c r="K12" s="6">
        <v>4</v>
      </c>
      <c r="L12" s="45" t="e">
        <f>'Data Entry'!$E$5/'Pick list'!K12</f>
        <v>#VALUE!</v>
      </c>
      <c r="M12" s="6" t="s">
        <v>20</v>
      </c>
      <c r="N12" s="6" t="s">
        <v>21</v>
      </c>
      <c r="O12" s="6" t="s">
        <v>21</v>
      </c>
      <c r="P12" s="6" t="s">
        <v>22</v>
      </c>
    </row>
    <row r="13" spans="1:20" x14ac:dyDescent="0.25">
      <c r="B13" s="6" t="s">
        <v>21</v>
      </c>
      <c r="C13" s="6" t="str">
        <f>'Data Entry'!J19</f>
        <v/>
      </c>
      <c r="D13" s="6">
        <f ca="1">SUMIF('House Set Up - Fixed'!C$5:D$12,B13,'House Set Up - Fixed'!D$5:D$12)</f>
        <v>0</v>
      </c>
      <c r="E13" s="6" t="str">
        <f>'Data Entry'!H19</f>
        <v/>
      </c>
      <c r="F13" s="30" t="e">
        <f>(E13/100)*'Data Entry'!$E$5</f>
        <v>#VALUE!</v>
      </c>
      <c r="K13" s="6">
        <v>5</v>
      </c>
      <c r="L13" s="45" t="e">
        <f>'Data Entry'!$E$5/'Pick list'!K13</f>
        <v>#VALUE!</v>
      </c>
      <c r="M13" s="6" t="s">
        <v>20</v>
      </c>
      <c r="N13" s="6" t="s">
        <v>21</v>
      </c>
      <c r="O13" s="6" t="s">
        <v>21</v>
      </c>
      <c r="P13" s="6" t="s">
        <v>21</v>
      </c>
      <c r="Q13" s="6" t="s">
        <v>22</v>
      </c>
    </row>
    <row r="14" spans="1:20" x14ac:dyDescent="0.25">
      <c r="K14" s="6">
        <v>6</v>
      </c>
      <c r="L14" s="45" t="e">
        <f>'Data Entry'!$E$5/'Pick list'!K14</f>
        <v>#VALUE!</v>
      </c>
      <c r="M14" s="6" t="s">
        <v>20</v>
      </c>
      <c r="N14" s="6" t="s">
        <v>20</v>
      </c>
      <c r="O14" s="6" t="s">
        <v>21</v>
      </c>
      <c r="P14" s="6" t="s">
        <v>21</v>
      </c>
      <c r="Q14" s="6" t="s">
        <v>21</v>
      </c>
      <c r="R14" s="6" t="s">
        <v>22</v>
      </c>
    </row>
    <row r="15" spans="1:20" x14ac:dyDescent="0.25">
      <c r="K15" s="6">
        <v>7</v>
      </c>
      <c r="L15" s="45" t="e">
        <f>'Data Entry'!$E$5/'Pick list'!K15</f>
        <v>#VALUE!</v>
      </c>
      <c r="M15" s="6" t="s">
        <v>20</v>
      </c>
      <c r="N15" s="6" t="s">
        <v>20</v>
      </c>
      <c r="O15" s="6" t="s">
        <v>21</v>
      </c>
      <c r="P15" s="6" t="s">
        <v>21</v>
      </c>
      <c r="Q15" s="6" t="s">
        <v>21</v>
      </c>
      <c r="R15" s="6" t="s">
        <v>21</v>
      </c>
      <c r="S15" s="6" t="s">
        <v>22</v>
      </c>
    </row>
    <row r="16" spans="1:20" x14ac:dyDescent="0.25">
      <c r="A16" s="19" t="s">
        <v>42</v>
      </c>
      <c r="K16" s="6">
        <v>8</v>
      </c>
      <c r="L16" s="45" t="e">
        <f>'Data Entry'!$E$5/'Pick list'!K16</f>
        <v>#VALUE!</v>
      </c>
      <c r="M16" s="6" t="s">
        <v>20</v>
      </c>
      <c r="N16" s="6" t="s">
        <v>20</v>
      </c>
      <c r="O16" s="6" t="s">
        <v>21</v>
      </c>
      <c r="P16" s="6" t="s">
        <v>21</v>
      </c>
      <c r="Q16" s="6" t="s">
        <v>21</v>
      </c>
      <c r="R16" s="6" t="s">
        <v>21</v>
      </c>
      <c r="S16" s="6" t="s">
        <v>21</v>
      </c>
      <c r="T16" s="6" t="s">
        <v>22</v>
      </c>
    </row>
    <row r="18" spans="1:20" x14ac:dyDescent="0.25">
      <c r="B18" s="6" t="s">
        <v>43</v>
      </c>
      <c r="C18" s="6">
        <f>IF('Data Entry'!H5&lt;5,(IF('Data Entry'!$H$4="Female",'Pick list'!C25,'Pick list'!D25)),(IF('Data Entry'!H5&lt;10,(IF('Data Entry'!$H$4="Female",'Pick list'!C26,'Pick list'!D26)),IF('Data Entry'!$H$4="Female",'Pick list'!C27,'Pick list'!D27))))</f>
        <v>5</v>
      </c>
      <c r="M18" s="6">
        <v>1</v>
      </c>
      <c r="N18" s="6">
        <v>2</v>
      </c>
      <c r="O18" s="6">
        <v>3</v>
      </c>
      <c r="P18" s="6">
        <v>4</v>
      </c>
      <c r="Q18" s="6">
        <v>5</v>
      </c>
      <c r="R18" s="6">
        <v>6</v>
      </c>
      <c r="S18" s="6">
        <v>7</v>
      </c>
      <c r="T18" s="6">
        <v>8</v>
      </c>
    </row>
    <row r="19" spans="1:20" x14ac:dyDescent="0.25">
      <c r="B19" s="6" t="s">
        <v>44</v>
      </c>
      <c r="C19" s="6">
        <f>IF('Data Entry'!$H$4="Female",'Pick list'!C28,'Pick list'!D28)</f>
        <v>11</v>
      </c>
      <c r="K19" s="6">
        <v>2</v>
      </c>
      <c r="L19" s="45" t="e">
        <f>'Data Entry'!$E$5/'Pick list'!K19</f>
        <v>#VALUE!</v>
      </c>
      <c r="M19" s="6" t="s">
        <v>20</v>
      </c>
      <c r="N19" s="6" t="s">
        <v>21</v>
      </c>
    </row>
    <row r="20" spans="1:20" x14ac:dyDescent="0.25">
      <c r="B20" s="6" t="s">
        <v>45</v>
      </c>
      <c r="C20" s="6">
        <f>IF('Data Entry'!$H$4="Female",'Pick list'!C29,'Pick list'!D29)</f>
        <v>26</v>
      </c>
      <c r="K20" s="6">
        <v>3</v>
      </c>
      <c r="L20" s="45" t="e">
        <f>'Data Entry'!$E$5/'Pick list'!K20</f>
        <v>#VALUE!</v>
      </c>
      <c r="M20" s="6" t="s">
        <v>20</v>
      </c>
      <c r="N20" s="6" t="s">
        <v>21</v>
      </c>
      <c r="O20" s="6" t="s">
        <v>21</v>
      </c>
    </row>
    <row r="21" spans="1:20" x14ac:dyDescent="0.25">
      <c r="B21" s="6" t="s">
        <v>39</v>
      </c>
      <c r="C21" s="6">
        <f>IF('Data Entry'!$H$4="Female",'Pick list'!C30,'Pick list'!D30)</f>
        <v>12</v>
      </c>
      <c r="K21" s="6">
        <v>4</v>
      </c>
      <c r="L21" s="45" t="e">
        <f>'Data Entry'!$E$5/'Pick list'!K21</f>
        <v>#VALUE!</v>
      </c>
      <c r="M21" s="6" t="s">
        <v>20</v>
      </c>
      <c r="N21" s="6" t="s">
        <v>21</v>
      </c>
      <c r="O21" s="6" t="s">
        <v>21</v>
      </c>
      <c r="P21" s="6" t="s">
        <v>21</v>
      </c>
    </row>
    <row r="22" spans="1:20" x14ac:dyDescent="0.25">
      <c r="B22" s="6" t="s">
        <v>40</v>
      </c>
      <c r="C22" s="6">
        <f>IF('Data Entry'!$H$4="Female",'Pick list'!C31,'Pick list'!D31)</f>
        <v>30</v>
      </c>
      <c r="K22" s="6">
        <v>5</v>
      </c>
      <c r="L22" s="45" t="e">
        <f>'Data Entry'!$E$5/'Pick list'!K22</f>
        <v>#VALUE!</v>
      </c>
      <c r="M22" s="6" t="s">
        <v>20</v>
      </c>
      <c r="N22" s="6" t="s">
        <v>21</v>
      </c>
      <c r="O22" s="6" t="s">
        <v>21</v>
      </c>
      <c r="P22" s="6" t="s">
        <v>21</v>
      </c>
      <c r="Q22" s="6" t="s">
        <v>21</v>
      </c>
    </row>
    <row r="23" spans="1:20" x14ac:dyDescent="0.25">
      <c r="K23" s="6">
        <v>6</v>
      </c>
      <c r="L23" s="45" t="e">
        <f>'Data Entry'!$E$5/'Pick list'!K23</f>
        <v>#VALUE!</v>
      </c>
      <c r="M23" s="6" t="s">
        <v>20</v>
      </c>
      <c r="N23" s="6" t="s">
        <v>20</v>
      </c>
      <c r="O23" s="6" t="s">
        <v>21</v>
      </c>
      <c r="P23" s="6" t="s">
        <v>21</v>
      </c>
      <c r="Q23" s="6" t="s">
        <v>21</v>
      </c>
      <c r="R23" s="6" t="s">
        <v>21</v>
      </c>
    </row>
    <row r="24" spans="1:20" x14ac:dyDescent="0.25">
      <c r="C24" s="6" t="s">
        <v>70</v>
      </c>
      <c r="D24" s="6" t="s">
        <v>71</v>
      </c>
      <c r="K24" s="6">
        <v>7</v>
      </c>
      <c r="L24" s="45" t="e">
        <f>'Data Entry'!$E$5/'Pick list'!K24</f>
        <v>#VALUE!</v>
      </c>
      <c r="M24" s="6" t="s">
        <v>20</v>
      </c>
      <c r="N24" s="6" t="s">
        <v>20</v>
      </c>
      <c r="O24" s="6" t="s">
        <v>21</v>
      </c>
      <c r="P24" s="6" t="s">
        <v>21</v>
      </c>
      <c r="Q24" s="6" t="s">
        <v>21</v>
      </c>
      <c r="R24" s="6" t="s">
        <v>21</v>
      </c>
      <c r="S24" s="6" t="s">
        <v>21</v>
      </c>
    </row>
    <row r="25" spans="1:20" x14ac:dyDescent="0.25">
      <c r="A25" s="6" t="s">
        <v>43</v>
      </c>
      <c r="B25" s="6" t="s">
        <v>77</v>
      </c>
      <c r="D25" s="6">
        <v>5</v>
      </c>
      <c r="K25" s="6">
        <v>8</v>
      </c>
      <c r="L25" s="45" t="e">
        <f>'Data Entry'!$E$5/'Pick list'!K25</f>
        <v>#VALUE!</v>
      </c>
      <c r="M25" s="6" t="s">
        <v>20</v>
      </c>
      <c r="N25" s="6" t="s">
        <v>20</v>
      </c>
      <c r="O25" s="6" t="s">
        <v>21</v>
      </c>
      <c r="P25" s="6" t="s">
        <v>21</v>
      </c>
      <c r="Q25" s="6" t="s">
        <v>21</v>
      </c>
      <c r="R25" s="6" t="s">
        <v>21</v>
      </c>
      <c r="S25" s="6" t="s">
        <v>21</v>
      </c>
      <c r="T25" s="6" t="s">
        <v>21</v>
      </c>
    </row>
    <row r="26" spans="1:20" x14ac:dyDescent="0.25">
      <c r="B26" s="6" t="s">
        <v>78</v>
      </c>
      <c r="C26" s="6">
        <v>10</v>
      </c>
      <c r="D26" s="6">
        <v>10</v>
      </c>
    </row>
    <row r="27" spans="1:20" x14ac:dyDescent="0.25">
      <c r="B27" s="6" t="s">
        <v>79</v>
      </c>
      <c r="C27" s="6">
        <v>15</v>
      </c>
      <c r="D27" s="6">
        <v>15</v>
      </c>
    </row>
    <row r="28" spans="1:20" x14ac:dyDescent="0.25">
      <c r="A28" s="6" t="s">
        <v>44</v>
      </c>
      <c r="C28" s="6">
        <v>10</v>
      </c>
      <c r="D28" s="6">
        <v>11</v>
      </c>
    </row>
    <row r="29" spans="1:20" x14ac:dyDescent="0.25">
      <c r="A29" s="6" t="s">
        <v>45</v>
      </c>
      <c r="C29" s="6">
        <v>26</v>
      </c>
      <c r="D29" s="6">
        <v>26</v>
      </c>
    </row>
    <row r="30" spans="1:20" x14ac:dyDescent="0.25">
      <c r="A30" s="6" t="s">
        <v>39</v>
      </c>
      <c r="C30" s="6">
        <v>12</v>
      </c>
      <c r="D30" s="6">
        <v>12</v>
      </c>
    </row>
    <row r="31" spans="1:20" x14ac:dyDescent="0.25">
      <c r="A31" s="6" t="s">
        <v>40</v>
      </c>
      <c r="C31" s="6">
        <v>30</v>
      </c>
      <c r="D31" s="6">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67"/>
  <sheetViews>
    <sheetView workbookViewId="0">
      <selection activeCell="T25" sqref="T25"/>
    </sheetView>
  </sheetViews>
  <sheetFormatPr defaultRowHeight="15" x14ac:dyDescent="0.25"/>
  <cols>
    <col min="1" max="1" width="13.42578125" customWidth="1"/>
  </cols>
  <sheetData>
    <row r="2" spans="1:7" x14ac:dyDescent="0.25">
      <c r="A2" t="s">
        <v>17</v>
      </c>
      <c r="B2" t="s">
        <v>9</v>
      </c>
      <c r="C2" t="s">
        <v>10</v>
      </c>
      <c r="D2" t="s">
        <v>11</v>
      </c>
      <c r="E2" t="s">
        <v>12</v>
      </c>
      <c r="F2" t="s">
        <v>13</v>
      </c>
      <c r="G2" t="s">
        <v>18</v>
      </c>
    </row>
    <row r="3" spans="1:7" x14ac:dyDescent="0.25">
      <c r="A3">
        <v>0</v>
      </c>
      <c r="B3" s="8">
        <v>40</v>
      </c>
      <c r="C3" s="12">
        <v>40</v>
      </c>
      <c r="G3" s="10">
        <v>40</v>
      </c>
    </row>
    <row r="4" spans="1:7" x14ac:dyDescent="0.25">
      <c r="A4">
        <v>1</v>
      </c>
      <c r="B4" s="9">
        <v>115</v>
      </c>
      <c r="C4" s="14">
        <v>110</v>
      </c>
      <c r="G4" s="11">
        <v>115</v>
      </c>
    </row>
    <row r="5" spans="1:7" x14ac:dyDescent="0.25">
      <c r="A5">
        <v>2</v>
      </c>
      <c r="B5" s="9">
        <v>215</v>
      </c>
      <c r="C5" s="14">
        <v>215</v>
      </c>
      <c r="G5" s="11">
        <v>215</v>
      </c>
    </row>
    <row r="6" spans="1:7" x14ac:dyDescent="0.25">
      <c r="A6">
        <v>3</v>
      </c>
      <c r="B6" s="9">
        <v>335</v>
      </c>
      <c r="C6" s="14">
        <v>310</v>
      </c>
      <c r="G6" s="11">
        <v>335</v>
      </c>
    </row>
    <row r="7" spans="1:7" x14ac:dyDescent="0.25">
      <c r="A7">
        <v>4</v>
      </c>
      <c r="B7" s="9">
        <v>450</v>
      </c>
      <c r="C7" s="14">
        <v>400</v>
      </c>
      <c r="G7" s="11">
        <v>450</v>
      </c>
    </row>
    <row r="8" spans="1:7" x14ac:dyDescent="0.25">
      <c r="A8">
        <v>5</v>
      </c>
      <c r="B8" s="9">
        <v>560</v>
      </c>
      <c r="C8" s="14">
        <v>490</v>
      </c>
      <c r="G8" s="11">
        <v>560</v>
      </c>
    </row>
    <row r="9" spans="1:7" x14ac:dyDescent="0.25">
      <c r="A9">
        <v>6</v>
      </c>
      <c r="B9" s="9">
        <v>660</v>
      </c>
      <c r="C9" s="14">
        <v>580</v>
      </c>
      <c r="G9" s="11">
        <v>660</v>
      </c>
    </row>
    <row r="10" spans="1:7" x14ac:dyDescent="0.25">
      <c r="A10">
        <v>7</v>
      </c>
      <c r="B10" s="9">
        <v>760</v>
      </c>
      <c r="C10" s="14">
        <v>670</v>
      </c>
      <c r="G10" s="11">
        <v>760</v>
      </c>
    </row>
    <row r="11" spans="1:7" x14ac:dyDescent="0.25">
      <c r="A11">
        <v>8</v>
      </c>
      <c r="B11" s="9">
        <v>860</v>
      </c>
      <c r="C11" s="14">
        <v>760</v>
      </c>
      <c r="G11" s="11">
        <v>860</v>
      </c>
    </row>
    <row r="12" spans="1:7" x14ac:dyDescent="0.25">
      <c r="A12">
        <v>9</v>
      </c>
      <c r="B12" s="9">
        <v>960</v>
      </c>
      <c r="C12" s="14">
        <v>850</v>
      </c>
      <c r="G12" s="11">
        <v>960</v>
      </c>
    </row>
    <row r="13" spans="1:7" x14ac:dyDescent="0.25">
      <c r="A13">
        <v>10</v>
      </c>
      <c r="B13" s="9">
        <v>1060</v>
      </c>
      <c r="C13" s="14">
        <v>940</v>
      </c>
      <c r="G13" s="11">
        <v>1060</v>
      </c>
    </row>
    <row r="14" spans="1:7" x14ac:dyDescent="0.25">
      <c r="A14">
        <v>11</v>
      </c>
      <c r="B14" s="9">
        <v>1160</v>
      </c>
      <c r="C14" s="14">
        <v>1030</v>
      </c>
      <c r="G14" s="11">
        <v>1160</v>
      </c>
    </row>
    <row r="15" spans="1:7" x14ac:dyDescent="0.25">
      <c r="A15">
        <v>12</v>
      </c>
      <c r="B15" s="9">
        <v>1260</v>
      </c>
      <c r="C15" s="14">
        <v>1120</v>
      </c>
      <c r="G15" s="11">
        <v>1260</v>
      </c>
    </row>
    <row r="16" spans="1:7" x14ac:dyDescent="0.25">
      <c r="A16">
        <v>13</v>
      </c>
      <c r="B16" s="9">
        <v>1360</v>
      </c>
      <c r="C16" s="14">
        <v>1210</v>
      </c>
      <c r="G16" s="11">
        <v>1360</v>
      </c>
    </row>
    <row r="17" spans="1:7" x14ac:dyDescent="0.25">
      <c r="A17">
        <v>14</v>
      </c>
      <c r="B17" s="9">
        <v>1460</v>
      </c>
      <c r="C17" s="14">
        <v>1300</v>
      </c>
      <c r="G17" s="11">
        <v>1460</v>
      </c>
    </row>
    <row r="18" spans="1:7" x14ac:dyDescent="0.25">
      <c r="A18">
        <v>15</v>
      </c>
      <c r="B18" s="9">
        <v>1560</v>
      </c>
      <c r="C18" s="14">
        <v>1390</v>
      </c>
      <c r="G18" s="11">
        <v>1560</v>
      </c>
    </row>
    <row r="19" spans="1:7" x14ac:dyDescent="0.25">
      <c r="A19">
        <v>16</v>
      </c>
      <c r="B19" s="9">
        <v>1670</v>
      </c>
      <c r="C19" s="14">
        <v>1480</v>
      </c>
      <c r="G19" s="11">
        <v>1670</v>
      </c>
    </row>
    <row r="20" spans="1:7" x14ac:dyDescent="0.25">
      <c r="A20">
        <v>17</v>
      </c>
      <c r="B20" s="9">
        <v>1790</v>
      </c>
      <c r="C20" s="14">
        <v>1585</v>
      </c>
      <c r="G20" s="11">
        <v>1790</v>
      </c>
    </row>
    <row r="21" spans="1:7" x14ac:dyDescent="0.25">
      <c r="A21">
        <v>18</v>
      </c>
      <c r="B21" s="9">
        <v>1915</v>
      </c>
      <c r="C21" s="14">
        <v>1700</v>
      </c>
      <c r="G21" s="11">
        <v>1915</v>
      </c>
    </row>
    <row r="22" spans="1:7" x14ac:dyDescent="0.25">
      <c r="A22">
        <v>19</v>
      </c>
      <c r="B22" s="9">
        <v>2050</v>
      </c>
      <c r="C22" s="14">
        <v>1825</v>
      </c>
      <c r="G22" s="11">
        <v>2050</v>
      </c>
    </row>
    <row r="23" spans="1:7" x14ac:dyDescent="0.25">
      <c r="A23">
        <v>20</v>
      </c>
      <c r="B23" s="9">
        <v>2195</v>
      </c>
      <c r="C23" s="14">
        <v>1960</v>
      </c>
      <c r="G23" s="11">
        <v>2195</v>
      </c>
    </row>
    <row r="24" spans="1:7" x14ac:dyDescent="0.25">
      <c r="A24">
        <v>21</v>
      </c>
      <c r="B24" s="9">
        <v>2345</v>
      </c>
      <c r="C24" s="14">
        <v>2100</v>
      </c>
      <c r="G24" s="11">
        <v>2345</v>
      </c>
    </row>
    <row r="25" spans="1:7" x14ac:dyDescent="0.25">
      <c r="A25">
        <v>22</v>
      </c>
      <c r="B25" s="9">
        <v>2500</v>
      </c>
      <c r="C25" s="14">
        <v>2245</v>
      </c>
      <c r="G25" s="11">
        <v>2500</v>
      </c>
    </row>
    <row r="26" spans="1:7" x14ac:dyDescent="0.25">
      <c r="A26">
        <v>23</v>
      </c>
      <c r="B26" s="9">
        <v>2660</v>
      </c>
      <c r="C26" s="14">
        <v>2395</v>
      </c>
      <c r="G26" s="11">
        <v>2660</v>
      </c>
    </row>
    <row r="27" spans="1:7" x14ac:dyDescent="0.25">
      <c r="A27">
        <v>24</v>
      </c>
      <c r="B27" s="9">
        <v>2820</v>
      </c>
      <c r="C27" s="14">
        <v>2545</v>
      </c>
      <c r="G27" s="11">
        <v>2820</v>
      </c>
    </row>
    <row r="28" spans="1:7" x14ac:dyDescent="0.25">
      <c r="A28">
        <v>25</v>
      </c>
      <c r="B28" s="9">
        <v>2975</v>
      </c>
      <c r="C28" s="14">
        <v>2690</v>
      </c>
      <c r="G28" s="11">
        <v>2975</v>
      </c>
    </row>
    <row r="29" spans="1:7" x14ac:dyDescent="0.25">
      <c r="A29">
        <v>26</v>
      </c>
      <c r="B29" s="9">
        <v>3120</v>
      </c>
      <c r="C29" s="14">
        <v>2825</v>
      </c>
      <c r="G29" s="11">
        <v>3120</v>
      </c>
    </row>
    <row r="30" spans="1:7" x14ac:dyDescent="0.25">
      <c r="A30">
        <v>27</v>
      </c>
      <c r="B30" s="9">
        <v>3245</v>
      </c>
      <c r="C30" s="14">
        <v>2955</v>
      </c>
      <c r="G30" s="11">
        <v>3245</v>
      </c>
    </row>
    <row r="31" spans="1:7" x14ac:dyDescent="0.25">
      <c r="A31">
        <v>28</v>
      </c>
      <c r="B31" s="9">
        <v>3340</v>
      </c>
      <c r="C31" s="14">
        <v>3055</v>
      </c>
      <c r="G31" s="11">
        <v>3340</v>
      </c>
    </row>
    <row r="32" spans="1:7" x14ac:dyDescent="0.25">
      <c r="A32">
        <v>29</v>
      </c>
      <c r="B32" s="9">
        <v>3395</v>
      </c>
      <c r="C32" s="14">
        <v>3145</v>
      </c>
      <c r="G32" s="11">
        <v>3395</v>
      </c>
    </row>
    <row r="33" spans="1:7" x14ac:dyDescent="0.25">
      <c r="A33">
        <v>30</v>
      </c>
      <c r="B33" s="9">
        <v>3435</v>
      </c>
      <c r="C33" s="14">
        <v>3230</v>
      </c>
      <c r="G33" s="11">
        <v>3435</v>
      </c>
    </row>
    <row r="34" spans="1:7" x14ac:dyDescent="0.25">
      <c r="A34">
        <v>31</v>
      </c>
      <c r="B34" s="9">
        <v>3465</v>
      </c>
      <c r="C34" s="14">
        <v>3285</v>
      </c>
      <c r="G34" s="11">
        <v>3465</v>
      </c>
    </row>
    <row r="35" spans="1:7" x14ac:dyDescent="0.25">
      <c r="A35">
        <v>32</v>
      </c>
      <c r="B35" s="9">
        <v>3490</v>
      </c>
      <c r="C35" s="14">
        <v>3330</v>
      </c>
      <c r="G35" s="11">
        <v>3490</v>
      </c>
    </row>
    <row r="36" spans="1:7" x14ac:dyDescent="0.25">
      <c r="A36">
        <v>33</v>
      </c>
      <c r="B36" s="9">
        <v>3510</v>
      </c>
      <c r="C36" s="14">
        <v>3370</v>
      </c>
      <c r="G36" s="11">
        <v>3510</v>
      </c>
    </row>
    <row r="37" spans="1:7" x14ac:dyDescent="0.25">
      <c r="A37">
        <v>34</v>
      </c>
      <c r="B37" s="9">
        <v>3530</v>
      </c>
      <c r="C37" s="14">
        <v>3400</v>
      </c>
      <c r="G37" s="11">
        <v>3530</v>
      </c>
    </row>
    <row r="38" spans="1:7" x14ac:dyDescent="0.25">
      <c r="A38">
        <v>35</v>
      </c>
      <c r="B38" s="9">
        <v>3550</v>
      </c>
      <c r="C38" s="14">
        <v>3430</v>
      </c>
      <c r="G38" s="11">
        <v>3550</v>
      </c>
    </row>
    <row r="39" spans="1:7" x14ac:dyDescent="0.25">
      <c r="A39">
        <v>36</v>
      </c>
      <c r="B39" s="9">
        <v>3570</v>
      </c>
      <c r="C39" s="14">
        <v>3450</v>
      </c>
      <c r="G39" s="11">
        <v>3570</v>
      </c>
    </row>
    <row r="40" spans="1:7" x14ac:dyDescent="0.25">
      <c r="A40">
        <v>37</v>
      </c>
      <c r="B40" s="9">
        <v>3590</v>
      </c>
      <c r="C40" s="14">
        <v>3470</v>
      </c>
      <c r="G40" s="11">
        <v>3590</v>
      </c>
    </row>
    <row r="41" spans="1:7" x14ac:dyDescent="0.25">
      <c r="A41">
        <v>38</v>
      </c>
      <c r="B41" s="9">
        <v>3610</v>
      </c>
      <c r="C41" s="14">
        <v>3485</v>
      </c>
      <c r="G41" s="11">
        <v>3610</v>
      </c>
    </row>
    <row r="42" spans="1:7" x14ac:dyDescent="0.25">
      <c r="A42">
        <v>39</v>
      </c>
      <c r="B42" s="9">
        <v>3630</v>
      </c>
      <c r="C42" s="14">
        <v>3500</v>
      </c>
      <c r="G42" s="11">
        <v>3630</v>
      </c>
    </row>
    <row r="43" spans="1:7" x14ac:dyDescent="0.25">
      <c r="A43">
        <v>40</v>
      </c>
      <c r="B43" s="9">
        <v>3650</v>
      </c>
      <c r="C43" s="14">
        <v>3515</v>
      </c>
      <c r="G43" s="11">
        <v>3650</v>
      </c>
    </row>
    <row r="44" spans="1:7" x14ac:dyDescent="0.25">
      <c r="A44">
        <v>41</v>
      </c>
      <c r="B44" s="9">
        <v>3670</v>
      </c>
      <c r="C44" s="14">
        <v>3530</v>
      </c>
      <c r="G44" s="11">
        <v>3670</v>
      </c>
    </row>
    <row r="45" spans="1:7" x14ac:dyDescent="0.25">
      <c r="A45">
        <v>42</v>
      </c>
      <c r="B45" s="9">
        <v>3690</v>
      </c>
      <c r="C45" s="14">
        <v>3545</v>
      </c>
      <c r="G45" s="11">
        <v>3690</v>
      </c>
    </row>
    <row r="46" spans="1:7" x14ac:dyDescent="0.25">
      <c r="A46">
        <v>43</v>
      </c>
      <c r="B46" s="9">
        <v>3710</v>
      </c>
      <c r="C46" s="14">
        <v>3560</v>
      </c>
      <c r="G46" s="11">
        <v>3710</v>
      </c>
    </row>
    <row r="47" spans="1:7" x14ac:dyDescent="0.25">
      <c r="A47">
        <v>44</v>
      </c>
      <c r="B47" s="9">
        <v>3730</v>
      </c>
      <c r="C47" s="14">
        <v>3575</v>
      </c>
      <c r="G47" s="11">
        <v>3730</v>
      </c>
    </row>
    <row r="48" spans="1:7" x14ac:dyDescent="0.25">
      <c r="A48">
        <v>45</v>
      </c>
      <c r="B48" s="9">
        <v>3750</v>
      </c>
      <c r="C48" s="14">
        <v>3590</v>
      </c>
      <c r="G48" s="11">
        <v>3750</v>
      </c>
    </row>
    <row r="49" spans="1:7" x14ac:dyDescent="0.25">
      <c r="A49">
        <v>46</v>
      </c>
      <c r="B49" s="9">
        <v>3770</v>
      </c>
      <c r="C49" s="14">
        <v>3605</v>
      </c>
      <c r="G49" s="11">
        <v>3770</v>
      </c>
    </row>
    <row r="50" spans="1:7" x14ac:dyDescent="0.25">
      <c r="A50">
        <v>47</v>
      </c>
      <c r="B50" s="9">
        <v>3790</v>
      </c>
      <c r="C50" s="14">
        <v>3620</v>
      </c>
      <c r="G50" s="11">
        <v>3790</v>
      </c>
    </row>
    <row r="51" spans="1:7" x14ac:dyDescent="0.25">
      <c r="A51">
        <v>48</v>
      </c>
      <c r="B51" s="9">
        <v>3810</v>
      </c>
      <c r="C51" s="14">
        <v>3635</v>
      </c>
      <c r="G51" s="11">
        <v>3810</v>
      </c>
    </row>
    <row r="52" spans="1:7" x14ac:dyDescent="0.25">
      <c r="A52">
        <v>49</v>
      </c>
      <c r="B52" s="9">
        <v>3830</v>
      </c>
      <c r="C52" s="14">
        <v>3650</v>
      </c>
      <c r="G52" s="11">
        <v>3830</v>
      </c>
    </row>
    <row r="53" spans="1:7" x14ac:dyDescent="0.25">
      <c r="A53">
        <v>50</v>
      </c>
      <c r="B53" s="9">
        <v>3850</v>
      </c>
      <c r="C53" s="14">
        <v>3665</v>
      </c>
      <c r="G53" s="11">
        <v>3850</v>
      </c>
    </row>
    <row r="54" spans="1:7" x14ac:dyDescent="0.25">
      <c r="A54">
        <v>51</v>
      </c>
      <c r="B54" s="9">
        <v>3870</v>
      </c>
      <c r="C54" s="14">
        <v>3680</v>
      </c>
      <c r="G54" s="11">
        <v>3870</v>
      </c>
    </row>
    <row r="55" spans="1:7" x14ac:dyDescent="0.25">
      <c r="A55">
        <v>52</v>
      </c>
      <c r="B55" s="9">
        <v>3890</v>
      </c>
      <c r="C55" s="14">
        <v>3695</v>
      </c>
      <c r="G55" s="11">
        <v>3890</v>
      </c>
    </row>
    <row r="56" spans="1:7" x14ac:dyDescent="0.25">
      <c r="A56">
        <v>53</v>
      </c>
      <c r="B56" s="9">
        <v>3910</v>
      </c>
      <c r="C56" s="14">
        <v>3710</v>
      </c>
      <c r="G56" s="11">
        <v>3910</v>
      </c>
    </row>
    <row r="57" spans="1:7" x14ac:dyDescent="0.25">
      <c r="A57">
        <v>54</v>
      </c>
      <c r="B57" s="9">
        <v>3930</v>
      </c>
      <c r="C57" s="14">
        <v>3725</v>
      </c>
      <c r="G57" s="11">
        <v>3930</v>
      </c>
    </row>
    <row r="58" spans="1:7" x14ac:dyDescent="0.25">
      <c r="A58">
        <v>55</v>
      </c>
      <c r="B58" s="9">
        <v>3950</v>
      </c>
      <c r="C58" s="14">
        <v>3740</v>
      </c>
      <c r="G58" s="11">
        <v>3950</v>
      </c>
    </row>
    <row r="59" spans="1:7" x14ac:dyDescent="0.25">
      <c r="A59">
        <v>56</v>
      </c>
      <c r="B59" s="9">
        <v>3970</v>
      </c>
      <c r="C59" s="14">
        <v>3755</v>
      </c>
      <c r="G59" s="11">
        <v>3970</v>
      </c>
    </row>
    <row r="60" spans="1:7" x14ac:dyDescent="0.25">
      <c r="A60">
        <v>57</v>
      </c>
      <c r="B60" s="9">
        <v>3990</v>
      </c>
      <c r="C60" s="14">
        <v>3770</v>
      </c>
      <c r="G60" s="11">
        <v>3990</v>
      </c>
    </row>
    <row r="61" spans="1:7" x14ac:dyDescent="0.25">
      <c r="A61">
        <v>58</v>
      </c>
      <c r="B61" s="9">
        <v>4010</v>
      </c>
      <c r="C61" s="14">
        <v>3785</v>
      </c>
      <c r="G61" s="11">
        <v>4010</v>
      </c>
    </row>
    <row r="62" spans="1:7" x14ac:dyDescent="0.25">
      <c r="A62">
        <v>59</v>
      </c>
      <c r="B62" s="9">
        <v>4030</v>
      </c>
      <c r="C62" s="14">
        <v>3800</v>
      </c>
      <c r="G62" s="11">
        <v>4030</v>
      </c>
    </row>
    <row r="63" spans="1:7" x14ac:dyDescent="0.25">
      <c r="A63">
        <v>60</v>
      </c>
      <c r="B63" s="9">
        <v>4050</v>
      </c>
      <c r="C63" s="14">
        <v>3815</v>
      </c>
      <c r="G63" s="11">
        <v>4050</v>
      </c>
    </row>
    <row r="64" spans="1:7" x14ac:dyDescent="0.25">
      <c r="A64">
        <v>61</v>
      </c>
      <c r="B64" s="9">
        <v>4070</v>
      </c>
      <c r="C64" s="14">
        <v>3830</v>
      </c>
      <c r="G64" s="11">
        <v>4070</v>
      </c>
    </row>
    <row r="65" spans="1:7" x14ac:dyDescent="0.25">
      <c r="A65">
        <v>62</v>
      </c>
      <c r="B65" s="9">
        <v>4090</v>
      </c>
      <c r="C65" s="14">
        <v>3845</v>
      </c>
      <c r="G65" s="11">
        <v>4090</v>
      </c>
    </row>
    <row r="66" spans="1:7" x14ac:dyDescent="0.25">
      <c r="A66">
        <v>63</v>
      </c>
      <c r="B66" s="9">
        <v>4110</v>
      </c>
      <c r="C66" s="14">
        <v>3860</v>
      </c>
      <c r="G66" s="11">
        <v>4110</v>
      </c>
    </row>
    <row r="67" spans="1:7" x14ac:dyDescent="0.25">
      <c r="A67">
        <v>64</v>
      </c>
      <c r="B67" s="9">
        <v>4130</v>
      </c>
      <c r="C67" s="13">
        <v>3875</v>
      </c>
      <c r="G67" s="11">
        <v>4130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G25"/>
  <sheetViews>
    <sheetView workbookViewId="0">
      <selection activeCell="E8" sqref="E8"/>
    </sheetView>
  </sheetViews>
  <sheetFormatPr defaultRowHeight="15" x14ac:dyDescent="0.25"/>
  <cols>
    <col min="5" max="5" width="12" bestFit="1" customWidth="1"/>
    <col min="6" max="6" width="12.42578125" customWidth="1"/>
  </cols>
  <sheetData>
    <row r="3" spans="2:6" x14ac:dyDescent="0.25">
      <c r="B3" t="s">
        <v>55</v>
      </c>
      <c r="C3">
        <f>'Data Entry'!H7</f>
        <v>0</v>
      </c>
    </row>
    <row r="4" spans="2:6" x14ac:dyDescent="0.25">
      <c r="B4" t="s">
        <v>56</v>
      </c>
      <c r="C4" t="e">
        <f>IF(F4&gt;0,F4,G25)</f>
        <v>#DIV/0!</v>
      </c>
      <c r="E4" t="s">
        <v>56</v>
      </c>
      <c r="F4">
        <f>'Data Entry'!H8</f>
        <v>0</v>
      </c>
    </row>
    <row r="5" spans="2:6" x14ac:dyDescent="0.25">
      <c r="B5" t="s">
        <v>57</v>
      </c>
      <c r="C5" t="e">
        <f>C3*(C4/100)</f>
        <v>#DIV/0!</v>
      </c>
      <c r="E5" t="s">
        <v>59</v>
      </c>
      <c r="F5">
        <f>'Data Entry'!H11</f>
        <v>0</v>
      </c>
    </row>
    <row r="7" spans="2:6" x14ac:dyDescent="0.25">
      <c r="C7" t="s">
        <v>26</v>
      </c>
      <c r="D7" t="s">
        <v>58</v>
      </c>
    </row>
    <row r="8" spans="2:6" x14ac:dyDescent="0.25">
      <c r="B8" t="s">
        <v>20</v>
      </c>
      <c r="C8" t="str">
        <f>'House Set Up - Fixed'!D17</f>
        <v/>
      </c>
      <c r="D8" s="33" t="e">
        <f>1-(C8/100)</f>
        <v>#VALUE!</v>
      </c>
      <c r="E8" s="34" t="e">
        <f>C3-(NORMINV(D8,C$3,C$5)-C3)</f>
        <v>#VALUE!</v>
      </c>
      <c r="F8" s="34" t="e">
        <f>C3-E8</f>
        <v>#VALUE!</v>
      </c>
    </row>
    <row r="9" spans="2:6" x14ac:dyDescent="0.25">
      <c r="B9" t="s">
        <v>22</v>
      </c>
      <c r="C9" t="str">
        <f>'House Set Up - Fixed'!D19</f>
        <v/>
      </c>
      <c r="D9" t="e">
        <f>1-(C9/100)</f>
        <v>#VALUE!</v>
      </c>
      <c r="E9" s="34" t="e">
        <f>NORMINV(D9,C$3,C$5)</f>
        <v>#VALUE!</v>
      </c>
      <c r="F9" s="34" t="e">
        <f>C3-E9</f>
        <v>#VALUE!</v>
      </c>
    </row>
    <row r="11" spans="2:6" x14ac:dyDescent="0.25">
      <c r="C11" t="s">
        <v>26</v>
      </c>
      <c r="D11" t="s">
        <v>58</v>
      </c>
    </row>
    <row r="12" spans="2:6" x14ac:dyDescent="0.25">
      <c r="B12" t="s">
        <v>20</v>
      </c>
      <c r="C12" t="str">
        <f>'House Set Up - Adjustable'!D17</f>
        <v/>
      </c>
      <c r="D12" s="33" t="e">
        <f>1-(C12/100)</f>
        <v>#VALUE!</v>
      </c>
      <c r="E12" s="34" t="e">
        <f>C3-(NORMINV(D12,C$3,C$5)-C3)</f>
        <v>#VALUE!</v>
      </c>
      <c r="F12" s="34" t="e">
        <f>E12-C3</f>
        <v>#VALUE!</v>
      </c>
    </row>
    <row r="13" spans="2:6" x14ac:dyDescent="0.25">
      <c r="B13" t="s">
        <v>22</v>
      </c>
      <c r="C13" t="str">
        <f>'House Set Up - Adjustable'!D19</f>
        <v/>
      </c>
      <c r="D13" t="e">
        <f>1-(C13/100)</f>
        <v>#VALUE!</v>
      </c>
      <c r="E13" s="34" t="e">
        <f>(NORMINV(D13,C$3,C$5))</f>
        <v>#VALUE!</v>
      </c>
      <c r="F13" s="34" t="e">
        <f>E13-C3</f>
        <v>#VALUE!</v>
      </c>
    </row>
    <row r="16" spans="2:6" x14ac:dyDescent="0.25">
      <c r="B16" t="s">
        <v>63</v>
      </c>
    </row>
    <row r="17" spans="2:7" s="42" customFormat="1" ht="30" x14ac:dyDescent="0.25">
      <c r="B17" s="42" t="s">
        <v>62</v>
      </c>
      <c r="C17" s="42" t="s">
        <v>60</v>
      </c>
    </row>
    <row r="18" spans="2:7" x14ac:dyDescent="0.25">
      <c r="B18" s="34">
        <v>-10</v>
      </c>
      <c r="C18" t="e">
        <f>(($C$3*(B18/100))/$C$5)</f>
        <v>#DIV/0!</v>
      </c>
      <c r="D18" t="e">
        <f>NORMSDIST(C18)</f>
        <v>#DIV/0!</v>
      </c>
    </row>
    <row r="19" spans="2:7" x14ac:dyDescent="0.25">
      <c r="B19" s="34">
        <v>10</v>
      </c>
      <c r="C19" t="e">
        <f>(($C$3*(B19/100))/$C$5)</f>
        <v>#DIV/0!</v>
      </c>
      <c r="D19" t="e">
        <f>NORMSDIST(C19)</f>
        <v>#DIV/0!</v>
      </c>
    </row>
    <row r="20" spans="2:7" x14ac:dyDescent="0.25">
      <c r="D20" t="str">
        <f>IF(F4&gt;0,(D19-D18)*100,"")</f>
        <v/>
      </c>
    </row>
    <row r="22" spans="2:7" x14ac:dyDescent="0.25">
      <c r="B22" t="s">
        <v>64</v>
      </c>
    </row>
    <row r="23" spans="2:7" ht="30" x14ac:dyDescent="0.25">
      <c r="B23" s="42" t="s">
        <v>62</v>
      </c>
      <c r="C23" t="s">
        <v>65</v>
      </c>
      <c r="D23" t="s">
        <v>66</v>
      </c>
      <c r="F23" t="s">
        <v>67</v>
      </c>
      <c r="G23" t="s">
        <v>68</v>
      </c>
    </row>
    <row r="24" spans="2:7" x14ac:dyDescent="0.25">
      <c r="B24" s="34">
        <v>-10</v>
      </c>
      <c r="C24">
        <f>0.5-(F5/200)</f>
        <v>0.5</v>
      </c>
      <c r="D24">
        <f>NORMSINV(C24)</f>
        <v>0</v>
      </c>
    </row>
    <row r="25" spans="2:7" x14ac:dyDescent="0.25">
      <c r="B25" s="34">
        <v>10</v>
      </c>
      <c r="C25">
        <f>0.5+(F5/200)</f>
        <v>0.5</v>
      </c>
      <c r="D25">
        <f>NORMSINV(C25)</f>
        <v>0</v>
      </c>
      <c r="E25">
        <f>C3*(B25/100)</f>
        <v>0</v>
      </c>
      <c r="F25" s="43" t="e">
        <f>E25/D25</f>
        <v>#DIV/0!</v>
      </c>
      <c r="G25" s="43" t="e">
        <f>(F25/C3)*100</f>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49"/>
  <sheetViews>
    <sheetView workbookViewId="0">
      <selection activeCell="C5" sqref="C5"/>
    </sheetView>
  </sheetViews>
  <sheetFormatPr defaultColWidth="233.85546875" defaultRowHeight="15" x14ac:dyDescent="0.25"/>
  <sheetData>
    <row r="1" spans="1:1" ht="77.25" customHeight="1" x14ac:dyDescent="0.25"/>
    <row r="2" spans="1:1" x14ac:dyDescent="0.25">
      <c r="A2" s="49" t="s">
        <v>80</v>
      </c>
    </row>
    <row r="3" spans="1:1" x14ac:dyDescent="0.25">
      <c r="A3" s="50" t="s">
        <v>81</v>
      </c>
    </row>
    <row r="4" spans="1:1" x14ac:dyDescent="0.25">
      <c r="A4" s="50" t="s">
        <v>82</v>
      </c>
    </row>
    <row r="5" spans="1:1" x14ac:dyDescent="0.25">
      <c r="A5" s="50" t="s">
        <v>83</v>
      </c>
    </row>
    <row r="6" spans="1:1" x14ac:dyDescent="0.25">
      <c r="A6" s="50" t="s">
        <v>84</v>
      </c>
    </row>
    <row r="7" spans="1:1" x14ac:dyDescent="0.25">
      <c r="A7" s="51" t="s">
        <v>85</v>
      </c>
    </row>
    <row r="8" spans="1:1" x14ac:dyDescent="0.25">
      <c r="A8" s="51" t="s">
        <v>86</v>
      </c>
    </row>
    <row r="9" spans="1:1" x14ac:dyDescent="0.25">
      <c r="A9" s="51" t="s">
        <v>87</v>
      </c>
    </row>
    <row r="10" spans="1:1" x14ac:dyDescent="0.25">
      <c r="A10" s="51" t="s">
        <v>88</v>
      </c>
    </row>
    <row r="11" spans="1:1" x14ac:dyDescent="0.25">
      <c r="A11" s="51" t="s">
        <v>89</v>
      </c>
    </row>
    <row r="12" spans="1:1" x14ac:dyDescent="0.25">
      <c r="A12" s="51" t="s">
        <v>90</v>
      </c>
    </row>
    <row r="13" spans="1:1" x14ac:dyDescent="0.25">
      <c r="A13" s="51" t="s">
        <v>91</v>
      </c>
    </row>
    <row r="14" spans="1:1" x14ac:dyDescent="0.25">
      <c r="A14" s="51" t="s">
        <v>92</v>
      </c>
    </row>
    <row r="15" spans="1:1" x14ac:dyDescent="0.25">
      <c r="A15" s="51" t="s">
        <v>93</v>
      </c>
    </row>
    <row r="16" spans="1:1" x14ac:dyDescent="0.25">
      <c r="A16" s="51" t="s">
        <v>94</v>
      </c>
    </row>
    <row r="17" spans="1:1" x14ac:dyDescent="0.25">
      <c r="A17" s="51" t="s">
        <v>95</v>
      </c>
    </row>
    <row r="18" spans="1:1" x14ac:dyDescent="0.25">
      <c r="A18" s="51" t="s">
        <v>96</v>
      </c>
    </row>
    <row r="19" spans="1:1" x14ac:dyDescent="0.25">
      <c r="A19" s="50" t="s">
        <v>97</v>
      </c>
    </row>
    <row r="20" spans="1:1" x14ac:dyDescent="0.25">
      <c r="A20" s="50" t="s">
        <v>98</v>
      </c>
    </row>
    <row r="21" spans="1:1" x14ac:dyDescent="0.25">
      <c r="A21" s="50" t="s">
        <v>99</v>
      </c>
    </row>
    <row r="22" spans="1:1" x14ac:dyDescent="0.25">
      <c r="A22" s="50" t="s">
        <v>100</v>
      </c>
    </row>
    <row r="23" spans="1:1" x14ac:dyDescent="0.25">
      <c r="A23" s="51" t="s">
        <v>101</v>
      </c>
    </row>
    <row r="24" spans="1:1" x14ac:dyDescent="0.25">
      <c r="A24" s="51" t="s">
        <v>102</v>
      </c>
    </row>
    <row r="25" spans="1:1" x14ac:dyDescent="0.25">
      <c r="A25" s="52" t="s">
        <v>103</v>
      </c>
    </row>
    <row r="26" spans="1:1" x14ac:dyDescent="0.25">
      <c r="A26" s="52" t="s">
        <v>104</v>
      </c>
    </row>
    <row r="27" spans="1:1" x14ac:dyDescent="0.25">
      <c r="A27" s="52" t="s">
        <v>105</v>
      </c>
    </row>
    <row r="28" spans="1:1" x14ac:dyDescent="0.25">
      <c r="A28" s="52" t="s">
        <v>106</v>
      </c>
    </row>
    <row r="29" spans="1:1" x14ac:dyDescent="0.25">
      <c r="A29" s="52" t="s">
        <v>107</v>
      </c>
    </row>
    <row r="30" spans="1:1" x14ac:dyDescent="0.25">
      <c r="A30" s="52" t="s">
        <v>108</v>
      </c>
    </row>
    <row r="31" spans="1:1" x14ac:dyDescent="0.25">
      <c r="A31" s="52" t="s">
        <v>109</v>
      </c>
    </row>
    <row r="32" spans="1:1" x14ac:dyDescent="0.25">
      <c r="A32" s="52" t="s">
        <v>110</v>
      </c>
    </row>
    <row r="33" spans="1:1" x14ac:dyDescent="0.25">
      <c r="A33" s="52" t="s">
        <v>111</v>
      </c>
    </row>
    <row r="34" spans="1:1" x14ac:dyDescent="0.25">
      <c r="A34" s="51" t="s">
        <v>112</v>
      </c>
    </row>
    <row r="35" spans="1:1" x14ac:dyDescent="0.25">
      <c r="A35" s="51" t="s">
        <v>113</v>
      </c>
    </row>
    <row r="36" spans="1:1" x14ac:dyDescent="0.25">
      <c r="A36" s="50" t="s">
        <v>114</v>
      </c>
    </row>
    <row r="37" spans="1:1" x14ac:dyDescent="0.25">
      <c r="A37" s="51" t="s">
        <v>115</v>
      </c>
    </row>
    <row r="38" spans="1:1" x14ac:dyDescent="0.25">
      <c r="A38" s="52" t="s">
        <v>103</v>
      </c>
    </row>
    <row r="39" spans="1:1" x14ac:dyDescent="0.25">
      <c r="A39" s="52" t="s">
        <v>104</v>
      </c>
    </row>
    <row r="40" spans="1:1" x14ac:dyDescent="0.25">
      <c r="A40" s="52" t="s">
        <v>116</v>
      </c>
    </row>
    <row r="41" spans="1:1" x14ac:dyDescent="0.25">
      <c r="A41" s="52" t="s">
        <v>117</v>
      </c>
    </row>
    <row r="42" spans="1:1" x14ac:dyDescent="0.25">
      <c r="A42" s="52" t="s">
        <v>118</v>
      </c>
    </row>
    <row r="43" spans="1:1" x14ac:dyDescent="0.25">
      <c r="A43" s="52" t="s">
        <v>119</v>
      </c>
    </row>
    <row r="44" spans="1:1" x14ac:dyDescent="0.25">
      <c r="A44" s="52" t="s">
        <v>120</v>
      </c>
    </row>
    <row r="45" spans="1:1" x14ac:dyDescent="0.25">
      <c r="A45" s="52" t="s">
        <v>121</v>
      </c>
    </row>
    <row r="46" spans="1:1" x14ac:dyDescent="0.25">
      <c r="A46" s="52" t="s">
        <v>122</v>
      </c>
    </row>
    <row r="47" spans="1:1" x14ac:dyDescent="0.25">
      <c r="A47" s="52" t="s">
        <v>123</v>
      </c>
    </row>
    <row r="48" spans="1:1" x14ac:dyDescent="0.25">
      <c r="A48" s="51" t="s">
        <v>124</v>
      </c>
    </row>
    <row r="49" spans="1:1" x14ac:dyDescent="0.25">
      <c r="A49" s="51" t="s">
        <v>125</v>
      </c>
    </row>
  </sheetData>
  <sheetProtection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Data Entry</vt:lpstr>
      <vt:lpstr>House Set Up - Adjustable</vt:lpstr>
      <vt:lpstr>House Set Up - Fixed</vt:lpstr>
      <vt:lpstr>Pick list</vt:lpstr>
      <vt:lpstr>Standards</vt:lpstr>
      <vt:lpstr>statistical calculations</vt:lpstr>
      <vt:lpstr>Help</vt:lpstr>
      <vt:lpstr>'House Set Up - Adjustable'!Print_Area</vt:lpstr>
      <vt:lpstr>'House Set Up - Fixed'!Print_Area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French, Nick</dc:creator>
  <cp:lastModifiedBy>French, Nick</cp:lastModifiedBy>
  <cp:lastPrinted>2017-11-15T15:04:46Z</cp:lastPrinted>
  <dcterms:created xsi:type="dcterms:W3CDTF">2017-09-19T08:32:31Z</dcterms:created>
  <dcterms:modified xsi:type="dcterms:W3CDTF">2018-05-16T09:00:33Z</dcterms:modified>
</cp:coreProperties>
</file>